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EEF9DBC3-4804-4705-BE6B-07A33E072ADD}"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I22" i="5"/>
  <c r="G22" i="5"/>
  <c r="F22" i="5"/>
  <c r="E22" i="5"/>
  <c r="C22" i="5"/>
  <c r="B22" i="5"/>
  <c r="J21" i="5"/>
  <c r="L21" i="5" s="1"/>
  <c r="I21" i="5"/>
  <c r="G21" i="5"/>
  <c r="F21" i="5"/>
  <c r="E21" i="5"/>
  <c r="C21" i="5"/>
  <c r="B21" i="5"/>
  <c r="J20" i="5"/>
  <c r="L20" i="5" s="1"/>
  <c r="I20" i="5"/>
  <c r="G20" i="5"/>
  <c r="F20" i="5"/>
  <c r="E20" i="5"/>
  <c r="C20" i="5"/>
  <c r="B20" i="5"/>
  <c r="J19" i="5"/>
  <c r="L19" i="5" s="1"/>
  <c r="I19" i="5"/>
  <c r="G19" i="5"/>
  <c r="F19" i="5"/>
  <c r="E19" i="5"/>
  <c r="C19" i="5"/>
  <c r="B19" i="5"/>
  <c r="J18" i="5"/>
  <c r="L18" i="5" s="1"/>
  <c r="I18" i="5"/>
  <c r="G18" i="5"/>
  <c r="F18" i="5"/>
  <c r="E18" i="5"/>
  <c r="C18" i="5"/>
  <c r="B18" i="5"/>
  <c r="J17" i="5"/>
  <c r="L17" i="5" s="1"/>
  <c r="I17" i="5"/>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F9" i="5"/>
  <c r="E9" i="5"/>
  <c r="C9" i="5"/>
  <c r="B9" i="5"/>
  <c r="J8" i="5"/>
  <c r="L8" i="5" s="1"/>
  <c r="F8" i="5"/>
  <c r="E8" i="5"/>
  <c r="C8" i="5"/>
  <c r="B8" i="5"/>
  <c r="I7" i="5"/>
  <c r="F7" i="5"/>
  <c r="E7" i="5"/>
  <c r="C7" i="5"/>
  <c r="B7" i="5"/>
  <c r="J6" i="5"/>
  <c r="J9" i="5" s="1"/>
  <c r="L9" i="5" s="1"/>
  <c r="F6" i="5"/>
  <c r="E6" i="5"/>
  <c r="C6" i="5"/>
  <c r="B6" i="5"/>
  <c r="F5" i="5"/>
  <c r="E5" i="5"/>
  <c r="C5" i="5"/>
  <c r="B5" i="5"/>
  <c r="K4" i="5"/>
  <c r="L4" i="5" s="1"/>
  <c r="F4" i="5"/>
  <c r="E4" i="5"/>
  <c r="C4" i="5"/>
  <c r="B4" i="5"/>
  <c r="L3" i="5"/>
  <c r="K3" i="5"/>
  <c r="I3" i="5"/>
  <c r="F3" i="5"/>
  <c r="E3" i="5"/>
  <c r="C3" i="5"/>
  <c r="B3" i="5"/>
  <c r="F2" i="5"/>
  <c r="E2" i="5"/>
  <c r="C2" i="5"/>
  <c r="B2" i="5"/>
  <c r="H10" i="3"/>
  <c r="G10" i="3"/>
  <c r="F10" i="3"/>
  <c r="D10" i="3"/>
  <c r="C10" i="3"/>
  <c r="B10" i="3"/>
  <c r="A10" i="3"/>
  <c r="H9" i="3"/>
  <c r="G9" i="3"/>
  <c r="F9" i="3"/>
  <c r="D9" i="3"/>
  <c r="C9" i="3"/>
  <c r="B9" i="3"/>
  <c r="A9" i="3"/>
  <c r="H8" i="3"/>
  <c r="G8" i="3"/>
  <c r="F8" i="3"/>
  <c r="E8" i="3"/>
  <c r="D8" i="3"/>
  <c r="C8" i="3"/>
  <c r="B8" i="3"/>
  <c r="A8" i="3"/>
  <c r="H7" i="3"/>
  <c r="G7" i="3"/>
  <c r="F7" i="3"/>
  <c r="E7" i="3"/>
  <c r="D7" i="3"/>
  <c r="C7" i="3"/>
  <c r="B7" i="3"/>
  <c r="A7" i="3"/>
  <c r="H6" i="3"/>
  <c r="G6" i="3"/>
  <c r="F6" i="3"/>
  <c r="E6" i="3"/>
  <c r="D6" i="3"/>
  <c r="C6" i="3"/>
  <c r="B6" i="3"/>
  <c r="A6" i="3"/>
  <c r="H5" i="3"/>
  <c r="G5" i="3"/>
  <c r="F5" i="3"/>
  <c r="E5" i="3"/>
  <c r="D5" i="3"/>
  <c r="C5" i="3"/>
  <c r="B5" i="3"/>
  <c r="A5" i="3"/>
  <c r="H4" i="3"/>
  <c r="G4" i="3"/>
  <c r="F4" i="3"/>
  <c r="D4" i="3"/>
  <c r="C4" i="3"/>
  <c r="B4" i="3"/>
  <c r="A4" i="3"/>
  <c r="C2" i="3" s="1"/>
  <c r="C3" i="3" s="1"/>
  <c r="H1" i="3"/>
  <c r="G1" i="3"/>
  <c r="F1" i="3"/>
  <c r="E1" i="3"/>
  <c r="D1" i="3"/>
  <c r="C1" i="3"/>
  <c r="B1" i="3"/>
  <c r="A1" i="3"/>
  <c r="H31" i="2"/>
  <c r="G31" i="2"/>
  <c r="F31" i="2"/>
  <c r="D31" i="2"/>
  <c r="C31" i="2"/>
  <c r="B31" i="2"/>
  <c r="A31" i="2"/>
  <c r="H30" i="2"/>
  <c r="G30" i="2"/>
  <c r="F30" i="2"/>
  <c r="D30" i="2"/>
  <c r="C30" i="2"/>
  <c r="B30" i="2"/>
  <c r="A30" i="2"/>
  <c r="H29" i="2"/>
  <c r="G29" i="2"/>
  <c r="F29" i="2"/>
  <c r="E29" i="2"/>
  <c r="D29" i="2"/>
  <c r="C29" i="2"/>
  <c r="B29" i="2"/>
  <c r="A29" i="2"/>
  <c r="H28" i="2"/>
  <c r="G28" i="2"/>
  <c r="F28" i="2"/>
  <c r="E28" i="2"/>
  <c r="D28" i="2"/>
  <c r="C28" i="2"/>
  <c r="B28" i="2"/>
  <c r="A28" i="2"/>
  <c r="H27" i="2"/>
  <c r="G27" i="2"/>
  <c r="F27" i="2"/>
  <c r="E27" i="2"/>
  <c r="D27" i="2"/>
  <c r="C27" i="2"/>
  <c r="B27" i="2"/>
  <c r="A27" i="2"/>
  <c r="H26" i="2"/>
  <c r="G26" i="2"/>
  <c r="F26" i="2"/>
  <c r="E26" i="2"/>
  <c r="D26" i="2"/>
  <c r="C26" i="2"/>
  <c r="B26" i="2"/>
  <c r="A26" i="2"/>
  <c r="H25" i="2"/>
  <c r="G25" i="2"/>
  <c r="F25" i="2"/>
  <c r="E25" i="2"/>
  <c r="D25" i="2"/>
  <c r="C25" i="2"/>
  <c r="B25" i="2"/>
  <c r="A25" i="2"/>
  <c r="H24" i="2"/>
  <c r="G24" i="2"/>
  <c r="F24" i="2"/>
  <c r="E24" i="2"/>
  <c r="D24" i="2"/>
  <c r="C24" i="2"/>
  <c r="B24" i="2"/>
  <c r="A24" i="2"/>
  <c r="H23" i="2"/>
  <c r="G23" i="2"/>
  <c r="F23" i="2"/>
  <c r="E23" i="2"/>
  <c r="D23" i="2"/>
  <c r="C23" i="2"/>
  <c r="B23" i="2"/>
  <c r="A23" i="2"/>
  <c r="H22" i="2"/>
  <c r="G22" i="2"/>
  <c r="F22" i="2"/>
  <c r="E22" i="2"/>
  <c r="D22" i="2"/>
  <c r="C22" i="2"/>
  <c r="B22" i="2"/>
  <c r="A22" i="2"/>
  <c r="H21" i="2"/>
  <c r="G21" i="2"/>
  <c r="F21" i="2"/>
  <c r="E21" i="2"/>
  <c r="D21" i="2"/>
  <c r="C21" i="2"/>
  <c r="B21" i="2"/>
  <c r="A21" i="2"/>
  <c r="H20" i="2"/>
  <c r="G20" i="2"/>
  <c r="F20" i="2"/>
  <c r="E20" i="2"/>
  <c r="D20" i="2"/>
  <c r="C20" i="2"/>
  <c r="B20" i="2"/>
  <c r="A20" i="2"/>
  <c r="G36" i="1" s="1"/>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C4" i="2" s="1"/>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D1" i="2"/>
  <c r="C1" i="2"/>
  <c r="G1" i="1" s="1"/>
  <c r="B48" i="1"/>
  <c r="F37" i="1"/>
  <c r="J22" i="5" s="1"/>
  <c r="L22" i="5" s="1"/>
  <c r="G33" i="1"/>
  <c r="G29" i="1"/>
  <c r="G25" i="1"/>
  <c r="D23" i="1"/>
  <c r="C23" i="1"/>
  <c r="F23" i="1" s="1"/>
  <c r="F18" i="1"/>
  <c r="F20" i="1" s="1"/>
  <c r="F13" i="1"/>
  <c r="G11" i="1"/>
  <c r="F11" i="1"/>
  <c r="G6" i="1"/>
  <c r="C3" i="2" s="1"/>
  <c r="E4" i="1"/>
  <c r="I26" i="5" s="1"/>
  <c r="B4" i="1"/>
  <c r="C2" i="1"/>
  <c r="K5" i="5" l="1"/>
  <c r="F39" i="1"/>
  <c r="F41" i="1" s="1"/>
  <c r="C45" i="1" s="1"/>
  <c r="C6" i="2"/>
  <c r="G26" i="1"/>
  <c r="G30" i="1"/>
  <c r="G34" i="1"/>
  <c r="G37" i="1"/>
  <c r="I2" i="5"/>
  <c r="I6" i="5"/>
  <c r="J7" i="5"/>
  <c r="L7" i="5" s="1"/>
  <c r="I10" i="5"/>
  <c r="I11" i="5"/>
  <c r="I12" i="5"/>
  <c r="I13" i="5"/>
  <c r="I14" i="5"/>
  <c r="I15" i="5"/>
  <c r="I16" i="5"/>
  <c r="I25" i="5"/>
  <c r="G35" i="1"/>
  <c r="I5" i="5"/>
  <c r="I9" i="5"/>
  <c r="G15" i="1"/>
  <c r="G18" i="1" s="1"/>
  <c r="G20" i="1" s="1"/>
  <c r="G27" i="1"/>
  <c r="G31" i="1"/>
  <c r="G16" i="1"/>
  <c r="G23" i="1"/>
  <c r="G28" i="1"/>
  <c r="G32" i="1"/>
  <c r="I4" i="5"/>
  <c r="L6" i="5"/>
  <c r="I8" i="5"/>
  <c r="I23" i="5"/>
  <c r="I24" i="5"/>
  <c r="G39" i="1" l="1"/>
  <c r="G41" i="1" s="1"/>
  <c r="J10" i="5"/>
  <c r="L10" i="5" s="1"/>
  <c r="K2" i="5"/>
  <c r="L5" i="5"/>
  <c r="J24" i="5"/>
  <c r="K25" i="5" l="1"/>
  <c r="L24" i="5"/>
  <c r="K28" i="5"/>
  <c r="L2" i="5"/>
  <c r="K23" i="5"/>
  <c r="J23" i="5"/>
  <c r="L23" i="5" s="1"/>
  <c r="L25" i="5" l="1"/>
  <c r="J26" i="5"/>
  <c r="L26" i="5" s="1"/>
  <c r="J28" i="5" l="1"/>
</calcChain>
</file>

<file path=xl/sharedStrings.xml><?xml version="1.0" encoding="utf-8"?>
<sst xmlns="http://schemas.openxmlformats.org/spreadsheetml/2006/main" count="158" uniqueCount="89">
  <si>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</si>
  <si>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</si>
  <si>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</si>
  <si>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</si>
  <si>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</si>
  <si>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</si>
  <si>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</si>
  <si>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</si>
  <si>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</si>
  <si>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</si>
  <si>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</si>
  <si>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</si>
  <si>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</si>
  <si>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</si>
  <si>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</si>
  <si>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</si>
  <si>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B. Volleyball Boosters' Discretionary Funds</t>
  </si>
  <si>
    <t>Fundraising</t>
  </si>
  <si>
    <t>Rally Up ($2000)</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</si>
  <si>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</si>
  <si>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</si>
  <si>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</si>
  <si>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</si>
  <si>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</si>
  <si>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</si>
  <si>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</si>
  <si>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</si>
  <si>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t>Var Head Coach Stipend, JV Head Coach, 
1 Discretionary Stipend</t>
  </si>
  <si>
    <t>Player Uniforms/Apparel</t>
  </si>
  <si>
    <t>Varsity Set, JV Extra Jerseys</t>
  </si>
  <si>
    <t>Coaching Uniforms</t>
  </si>
  <si>
    <t>Gear ($250)</t>
  </si>
  <si>
    <t>Officials/Dues</t>
  </si>
  <si>
    <t>4 Non League Officials ($360 x 4 Games)</t>
  </si>
  <si>
    <t>Travel Expenses</t>
  </si>
  <si>
    <t>Tournament Expenses</t>
  </si>
  <si>
    <r>
      <rPr>
        <sz val="10"/>
        <color theme="1"/>
        <rFont val="Arial"/>
      </rPr>
      <t>1 Varsity and 1 JV Tournament ($</t>
    </r>
    <r>
      <rPr>
        <b/>
        <sz val="10"/>
        <color rgb="FF1155CC"/>
        <rFont val="Arial"/>
      </rPr>
      <t>625 total</t>
    </r>
    <r>
      <rPr>
        <sz val="10"/>
        <color theme="1"/>
        <rFont val="Arial"/>
      </rPr>
      <t>)</t>
    </r>
  </si>
  <si>
    <t>Equipment</t>
  </si>
  <si>
    <t>Balls ($500), 1 Cart ($130)</t>
  </si>
  <si>
    <t>Custodial Fees</t>
  </si>
  <si>
    <t>4 Saturday Open Gyms ($600)</t>
  </si>
  <si>
    <t>Banquet/Team Lunches</t>
  </si>
  <si>
    <t>EOY Banquet Var &amp; JV ($300 per program)</t>
  </si>
  <si>
    <t>Offseason Activities</t>
  </si>
  <si>
    <t>Fundraising Expenses</t>
  </si>
  <si>
    <t>Other</t>
  </si>
  <si>
    <t>Senior Banners ($60 x 6), Senior Night Expenses ($175), Announcers/Music for games ($700)</t>
  </si>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</sst>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11">
    <font>
      <sz val="10"/>
      <color rgb="FF000000"/>
      <name val="Arial"/>
      <scheme val="minor"/>
    </font>
    <font>
      <b/>
      <sz val="10"/>
      <color theme="1"/>
      <name val="Arial"/>
      <scheme val="minor"/>
    </font>
    <font>
      <sz val="10"/>
      <name val="Arial"/>
    </font>
    <font>
      <sz val="10"/>
      <color theme="1"/>
      <name val="Arial"/>
      <scheme val="minor"/>
    </font>
    <font>
      <sz val="10"/>
      <color theme="1"/>
      <name val="Arial"/>
    </font>
    <font>
      <b/>
      <sz val="10"/>
      <color rgb="FF1155CC"/>
      <name val="Arial"/>
      <scheme val="minor"/>
    </font>
    <font>
      <sz val="10"/>
      <color rgb="FFFFFFFF"/>
      <name val="Arial"/>
    </font>
    <font>
      <b/>
      <sz val="10"/>
      <color theme="1"/>
      <name val="Arial"/>
    </font>
    <font>
      <u/>
      <sz val="9"/>
      <color rgb="FF008000"/>
      <name val="&quot;Google Sans Mono&quot;"/>
    </font>
    <font>
      <u/>
      <sz val="10"/>
      <color rgb="FF1155CC"/>
      <name val="Arial"/>
    </font>
    <font>
      <b/>
      <sz val="10"/>
      <color rgb="FF1155CC"/>
      <name val="Arial"/>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9">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6"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7" fillId="0" borderId="0" xfId="0" applyFont="1" applyAlignment="1"/>
    <xf numFmtId="167" fontId="7"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8" fillId="4" borderId="0" xfId="0" applyFont="1" applyFill="1" applyAlignment="1"/>
    <xf numFmtId="0" fontId="9"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5" fillId="0" borderId="17" xfId="0" applyFont="1" applyBorder="1" applyAlignment="1">
      <alignment horizontal="left"/>
    </xf>
    <xf numFmtId="0" fontId="2" fillId="0" borderId="18" xfId="0" applyFont="1" applyBorder="1"/>
    <xf numFmtId="0" fontId="2" fillId="0" borderId="19" xfId="0" applyFont="1" applyBorder="1"/>
    <xf numFmtId="0" fontId="3" fillId="0" borderId="17" xfId="0" applyFont="1" applyBorder="1" applyAlignment="1">
      <alignment horizontal="left"/>
    </xf>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1338</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1</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IFERROR(__xludf.DUMMYFUNCTION("vlookup(mid($B$48,9,4),importrange(""https://docs.google.com/spreadsheets/d/1pJtXv0aZNcpQvmFHmN9sZsKUQYlob45mKdCxeR-6We4/edit#gid=900477289"",""Team!A:D""),3)"),"Volleyball - Boys")</f>
        <v>Volleyball - Boys</v>
      </c>
      <c r="F4" s="69"/>
      <c r="G4" s="72"/>
    </row>
    <row r="6" spans="1:8" ht="12.75">
      <c r="A6" s="6" t="s">
        <v>3</v>
      </c>
      <c r="B6" s="73" t="s">
        <v>4</v>
      </c>
      <c r="C6" s="67"/>
      <c r="D6" s="67"/>
      <c r="E6" s="67"/>
      <c r="F6" s="6"/>
      <c r="G6" s="7">
        <f ca="1">IFERROR(__xludf.DUMMYFUNCTION("index(importrange(BegBal,""AHS!A:F""),match(A2,importrange(BegBal,""AHS!A:A""),0),match(""Fund Balance"",importrange(BegBal,""AHS!A1:F1""),0))"),5489.27)</f>
        <v>5489.27</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16</v>
      </c>
      <c r="D11" s="17">
        <v>0.8</v>
      </c>
      <c r="E11" s="16">
        <v>300</v>
      </c>
      <c r="F11" s="18">
        <f>C11*D11*E11</f>
        <v>3840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v>16</v>
      </c>
      <c r="D13" s="17">
        <v>0.8</v>
      </c>
      <c r="E13" s="16">
        <v>300</v>
      </c>
      <c r="F13" s="18">
        <f>C13*D13*E13</f>
        <v>3840</v>
      </c>
      <c r="G13" s="24"/>
    </row>
    <row r="14" spans="1:8" ht="12.75">
      <c r="B14" s="20"/>
      <c r="C14" s="21" t="s">
        <v>11</v>
      </c>
      <c r="D14" s="21" t="s">
        <v>12</v>
      </c>
      <c r="E14" s="21" t="s">
        <v>13</v>
      </c>
      <c r="F14" s="22"/>
      <c r="G14" s="25"/>
    </row>
    <row r="15" spans="1:8" ht="12.75">
      <c r="A15" s="14">
        <v>8692</v>
      </c>
      <c r="B15" s="26" t="s">
        <v>15</v>
      </c>
      <c r="C15" s="77" t="s">
        <v>16</v>
      </c>
      <c r="D15" s="78"/>
      <c r="E15" s="79"/>
      <c r="F15" s="27">
        <v>2808.75</v>
      </c>
      <c r="G15" s="28">
        <f ca="1">SUMIF(Transactions!$A$8:$A1010,B15,Transactions!$C$8:$C1010)</f>
        <v>0</v>
      </c>
    </row>
    <row r="16" spans="1:8" ht="12.75">
      <c r="A16" s="14">
        <v>8693</v>
      </c>
      <c r="B16" s="26" t="s">
        <v>17</v>
      </c>
      <c r="C16" s="80" t="s">
        <v>18</v>
      </c>
      <c r="D16" s="78"/>
      <c r="E16" s="79"/>
      <c r="F16" s="27">
        <v>2000</v>
      </c>
      <c r="G16" s="29">
        <f ca="1">SUMIF(Transactions!$A$8:$A1010,B16,Transactions!$C$8:$C1010)</f>
        <v>1444.5</v>
      </c>
    </row>
    <row r="17" spans="1:7" ht="12.75">
      <c r="C17" s="67"/>
      <c r="D17" s="67"/>
      <c r="E17" s="67"/>
      <c r="G17" s="30"/>
    </row>
    <row r="18" spans="1:7" ht="12.75">
      <c r="A18" s="31"/>
      <c r="B18" s="31"/>
      <c r="C18" s="81" t="s">
        <v>19</v>
      </c>
      <c r="D18" s="67"/>
      <c r="E18" s="67"/>
      <c r="F18" s="33">
        <f t="shared" ref="F18:G18" si="0">SUM(F11:F16)</f>
        <v>12488.75</v>
      </c>
      <c r="G18" s="34">
        <f t="shared" ca="1" si="0"/>
        <v>1444.5</v>
      </c>
    </row>
    <row r="19" spans="1:7" ht="12.75">
      <c r="C19" s="35"/>
      <c r="D19" s="35"/>
      <c r="E19" s="35"/>
      <c r="F19" s="36"/>
      <c r="G19" s="30"/>
    </row>
    <row r="20" spans="1:7" ht="12.75">
      <c r="A20" s="32"/>
      <c r="B20" s="81" t="s">
        <v>20</v>
      </c>
      <c r="C20" s="67"/>
      <c r="D20" s="67"/>
      <c r="E20" s="67"/>
      <c r="F20" s="33">
        <f ca="1">F18+G6-G8</f>
        <v>17978.02</v>
      </c>
      <c r="G20" s="34">
        <f ca="1">G18+G6-H8</f>
        <v>6933.77</v>
      </c>
    </row>
    <row r="21" spans="1:7" ht="12.75">
      <c r="G21" s="37"/>
    </row>
    <row r="22" spans="1:7" ht="12.75">
      <c r="A22" s="38"/>
      <c r="B22" s="39" t="s">
        <v>21</v>
      </c>
      <c r="C22" s="75" t="s">
        <v>22</v>
      </c>
      <c r="D22" s="76"/>
      <c r="E22" s="76"/>
      <c r="F22" s="12" t="s">
        <v>23</v>
      </c>
      <c r="G22" s="40" t="s">
        <v>24</v>
      </c>
    </row>
    <row r="23" spans="1:7" ht="12.75">
      <c r="A23" s="14">
        <v>8694</v>
      </c>
      <c r="B23" s="15" t="s">
        <v>25</v>
      </c>
      <c r="C23" s="41">
        <f>C11+C13</f>
        <v>32</v>
      </c>
      <c r="D23" s="42">
        <f>IFERROR((C11/(C11+C13))*D11+(C13/(C11+C13))*D13,0)</f>
        <v>0.8</v>
      </c>
      <c r="E23" s="43">
        <v>30</v>
      </c>
      <c r="F23" s="18">
        <f>IFERROR(C23*D23*E23,0)</f>
        <v>768</v>
      </c>
      <c r="G23" s="29">
        <f ca="1">SUMIF(Transactions!$A$8:$A1010,"PAL (Total)",Transactions!$C$8:$C1010)*-1</f>
        <v>0</v>
      </c>
    </row>
    <row r="24" spans="1:7" ht="12.75">
      <c r="B24" s="20"/>
      <c r="C24" s="21" t="s">
        <v>11</v>
      </c>
      <c r="D24" s="21" t="s">
        <v>12</v>
      </c>
      <c r="E24" s="21" t="s">
        <v>13</v>
      </c>
      <c r="F24" s="20"/>
      <c r="G24" s="25"/>
    </row>
    <row r="25" spans="1:7" ht="12.75">
      <c r="A25" s="14">
        <v>2180</v>
      </c>
      <c r="B25" s="26" t="s">
        <v>26</v>
      </c>
      <c r="C25" s="80" t="s">
        <v>27</v>
      </c>
      <c r="D25" s="78"/>
      <c r="E25" s="79"/>
      <c r="F25" s="44">
        <v>8917</v>
      </c>
      <c r="G25" s="28">
        <f ca="1">SUMIF(Transactions!$A$8:$A1010,B25,Transactions!$C$8:$C1010)*-1</f>
        <v>0</v>
      </c>
    </row>
    <row r="26" spans="1:7" ht="12.75">
      <c r="A26" s="14">
        <v>4341</v>
      </c>
      <c r="B26" s="26" t="s">
        <v>28</v>
      </c>
      <c r="C26" s="77" t="s">
        <v>29</v>
      </c>
      <c r="D26" s="78"/>
      <c r="E26" s="79"/>
      <c r="F26" s="44">
        <v>2500</v>
      </c>
      <c r="G26" s="28">
        <f ca="1">SUMIF(Transactions!$A$8:$A1010,B26,Transactions!$C$8:$C1010)*-1</f>
        <v>0</v>
      </c>
    </row>
    <row r="27" spans="1:7" ht="12.75">
      <c r="A27" s="14">
        <v>4342</v>
      </c>
      <c r="B27" s="26" t="s">
        <v>30</v>
      </c>
      <c r="C27" s="80" t="s">
        <v>31</v>
      </c>
      <c r="D27" s="78"/>
      <c r="E27" s="79"/>
      <c r="F27" s="44">
        <v>250</v>
      </c>
      <c r="G27" s="28">
        <f ca="1">SUMIF(Transactions!$A$8:$A1010,B27,Transactions!$C$8:$C1010)*-1</f>
        <v>0</v>
      </c>
    </row>
    <row r="28" spans="1:7" ht="12.75">
      <c r="A28" s="14">
        <v>5840</v>
      </c>
      <c r="B28" s="26" t="s">
        <v>32</v>
      </c>
      <c r="C28" s="80" t="s">
        <v>33</v>
      </c>
      <c r="D28" s="78"/>
      <c r="E28" s="79"/>
      <c r="F28" s="44">
        <v>1440</v>
      </c>
      <c r="G28" s="28">
        <f ca="1">SUMIF(Transactions!$A$8:$A1010,B28,Transactions!$C$8:$C1010)*-1</f>
        <v>0</v>
      </c>
    </row>
    <row r="29" spans="1:7" ht="12.75">
      <c r="A29" s="14">
        <v>5841</v>
      </c>
      <c r="B29" s="26" t="s">
        <v>34</v>
      </c>
      <c r="C29" s="82"/>
      <c r="D29" s="78"/>
      <c r="E29" s="79"/>
      <c r="F29" s="44"/>
      <c r="G29" s="28">
        <f ca="1">SUMIF(Transactions!$A$8:$A1010,B29,Transactions!$C$8:$C1010)*-1</f>
        <v>0</v>
      </c>
    </row>
    <row r="30" spans="1:7" ht="12.75">
      <c r="A30" s="14">
        <v>5842</v>
      </c>
      <c r="B30" s="26" t="s">
        <v>35</v>
      </c>
      <c r="C30" s="83" t="s">
        <v>36</v>
      </c>
      <c r="D30" s="84"/>
      <c r="E30" s="85"/>
      <c r="F30" s="44">
        <v>625</v>
      </c>
      <c r="G30" s="28">
        <f ca="1">SUMIF(Transactions!$A$8:$A1010,B30,Transactions!$C$8:$C1010)*-1</f>
        <v>0</v>
      </c>
    </row>
    <row r="31" spans="1:7" ht="12.75">
      <c r="A31" s="14">
        <v>4343</v>
      </c>
      <c r="B31" s="26" t="s">
        <v>37</v>
      </c>
      <c r="C31" s="80" t="s">
        <v>38</v>
      </c>
      <c r="D31" s="78"/>
      <c r="E31" s="79"/>
      <c r="F31" s="44">
        <v>630</v>
      </c>
      <c r="G31" s="28">
        <f ca="1">SUMIF(Transactions!$A$8:$A1010,B31,Transactions!$C$8:$C1010)*-1</f>
        <v>443.59</v>
      </c>
    </row>
    <row r="32" spans="1:7" ht="12.75">
      <c r="A32" s="14">
        <v>2250</v>
      </c>
      <c r="B32" s="26" t="s">
        <v>39</v>
      </c>
      <c r="C32" s="80" t="s">
        <v>40</v>
      </c>
      <c r="D32" s="78"/>
      <c r="E32" s="79"/>
      <c r="F32" s="44">
        <v>600</v>
      </c>
      <c r="G32" s="28">
        <f ca="1">SUMIF(Transactions!$A$8:$A1010,B32,Transactions!$C$8:$C1010)*-1</f>
        <v>0</v>
      </c>
    </row>
    <row r="33" spans="1:7" ht="12.75">
      <c r="A33" s="14">
        <v>5843</v>
      </c>
      <c r="B33" s="26" t="s">
        <v>41</v>
      </c>
      <c r="C33" s="87" t="s">
        <v>42</v>
      </c>
      <c r="D33" s="78"/>
      <c r="E33" s="79"/>
      <c r="F33" s="44">
        <v>600</v>
      </c>
      <c r="G33" s="28">
        <f ca="1">SUMIF(Transactions!$A$8:$A1010,B33,Transactions!$C$8:$C1010)*-1</f>
        <v>0</v>
      </c>
    </row>
    <row r="34" spans="1:7" ht="12.75">
      <c r="A34" s="14">
        <v>5845</v>
      </c>
      <c r="B34" s="26" t="s">
        <v>43</v>
      </c>
      <c r="C34" s="80"/>
      <c r="D34" s="78"/>
      <c r="E34" s="79"/>
      <c r="F34" s="44"/>
      <c r="G34" s="28">
        <f ca="1">SUMIF(Transactions!$A$8:$A1010,B34,Transactions!$C$8:$C1010)*-1</f>
        <v>0</v>
      </c>
    </row>
    <row r="35" spans="1:7" ht="12.75">
      <c r="A35" s="14">
        <v>4345</v>
      </c>
      <c r="B35" s="26" t="s">
        <v>44</v>
      </c>
      <c r="C35" s="80"/>
      <c r="D35" s="78"/>
      <c r="E35" s="79"/>
      <c r="F35" s="44"/>
      <c r="G35" s="28">
        <f ca="1">SUMIF(Transactions!$A$8:$A1010,B35,Transactions!$C$8:$C1010)*-1</f>
        <v>0</v>
      </c>
    </row>
    <row r="36" spans="1:7" ht="12.75">
      <c r="A36" s="14">
        <v>4344</v>
      </c>
      <c r="B36" s="26" t="s">
        <v>45</v>
      </c>
      <c r="C36" s="87" t="s">
        <v>46</v>
      </c>
      <c r="D36" s="78"/>
      <c r="E36" s="79"/>
      <c r="F36" s="44">
        <v>1235</v>
      </c>
      <c r="G36" s="28">
        <f ca="1">SUMIF(Transactions!$A$8:$A1010,B36,Transactions!$C$8:$C1010)*-1</f>
        <v>95.13</v>
      </c>
    </row>
    <row r="37" spans="1:7" ht="12.75">
      <c r="A37" s="14">
        <v>5844</v>
      </c>
      <c r="B37" s="26" t="s">
        <v>47</v>
      </c>
      <c r="C37" s="88">
        <v>0.04</v>
      </c>
      <c r="D37" s="78"/>
      <c r="E37" s="79"/>
      <c r="F37" s="22">
        <f>(F11+F13)*0.04</f>
        <v>307.2</v>
      </c>
      <c r="G37" s="29">
        <f ca="1">SUMIF(Transactions!A8:A1010,"Webstore Fees (Total)",Transactions!C8:C1010)*-1</f>
        <v>0</v>
      </c>
    </row>
    <row r="38" spans="1:7" ht="12.75">
      <c r="G38" s="30"/>
    </row>
    <row r="39" spans="1:7" ht="12.75">
      <c r="A39" s="31"/>
      <c r="B39" s="31"/>
      <c r="C39" s="81" t="s">
        <v>48</v>
      </c>
      <c r="D39" s="67"/>
      <c r="E39" s="67"/>
      <c r="F39" s="33">
        <f t="shared" ref="F39:G39" si="1">SUM(F23:F37)</f>
        <v>17872.2</v>
      </c>
      <c r="G39" s="34">
        <f t="shared" ca="1" si="1"/>
        <v>538.72</v>
      </c>
    </row>
    <row r="40" spans="1:7" ht="12.75">
      <c r="G40" s="30"/>
    </row>
    <row r="41" spans="1:7" ht="12.75">
      <c r="A41" s="6">
        <v>7994</v>
      </c>
      <c r="B41" s="73" t="s">
        <v>49</v>
      </c>
      <c r="C41" s="67"/>
      <c r="D41" s="67"/>
      <c r="E41" s="67"/>
      <c r="F41" s="7">
        <f t="shared" ref="F41:G41" ca="1" si="2">F20-F39</f>
        <v>105.81999999999971</v>
      </c>
      <c r="G41" s="34">
        <f t="shared" ca="1" si="2"/>
        <v>6395.05</v>
      </c>
    </row>
    <row r="43" spans="1:7" ht="12.75">
      <c r="A43" s="14"/>
      <c r="B43" s="14" t="s">
        <v>50</v>
      </c>
    </row>
    <row r="44" spans="1:7" ht="12.75">
      <c r="A44" s="14"/>
      <c r="B44" s="14" t="s">
        <v>51</v>
      </c>
      <c r="C44" s="14"/>
    </row>
    <row r="45" spans="1:7" ht="12.75">
      <c r="A45" s="14"/>
      <c r="B45" s="14" t="s">
        <v>52</v>
      </c>
      <c r="C45" s="45" t="str">
        <f ca="1">IF(OR(AND(G6&lt;0,F41&gt;=G6-0.2*G6),AND(G6&gt;=0,F41&gt;=0)),"Yes","No")</f>
        <v>Yes</v>
      </c>
    </row>
    <row r="47" spans="1:7" ht="12.75" hidden="1">
      <c r="B47" s="14" t="s">
        <v>53</v>
      </c>
    </row>
    <row r="48" spans="1:7" ht="12.75" hidden="1">
      <c r="B48" s="86" t="str">
        <f>"08-"&amp;"82"&amp;RIGHT(A1,2)&amp;"-"&amp;A2&amp;"-4200-"&amp;A1&amp;"-"&amp;A3&amp;"-"&amp;"0"&amp;RIGHT(A1,2)&amp;"-"</f>
        <v>08-8211-1338-4200-211-1-011-</v>
      </c>
      <c r="C48" s="67"/>
      <c r="D48" s="67"/>
      <c r="E48" s="67"/>
      <c r="F48" s="67"/>
      <c r="G48" s="67"/>
    </row>
    <row r="49" spans="2:2" ht="12.75">
      <c r="B49" s="14" t="s">
        <v>54</v>
      </c>
    </row>
    <row r="50" spans="2:2" ht="12.75">
      <c r="B50" s="14" t="s">
        <v>55</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56</v>
      </c>
      <c r="C1" s="46">
        <f ca="1">IFERROR(__xludf.DUMMYFUNCTION("importrange(""https://docs.google.com/spreadsheets/d/1uijBtfAfz56pDNy9cloUC_dVp0vgk5vaLaQJ2FY0cWE/edit?gid=0#gid=0"",""Date!A1"")"),45730)</f>
        <v>45730</v>
      </c>
      <c r="D1" s="47" t="str">
        <f>TEXT(Budget!A2,"####")</f>
        <v>1338</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5489.27</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57</v>
      </c>
      <c r="C4" s="52">
        <f ca="1">SUM(C9:C2517)-SUMIFS(C9:C2517,A9:A2517,"Subtotal")-SUMIFS(C9:C2517,B9:B2517,"Beginning Fund Balance")</f>
        <v>905.77999999999986</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58</v>
      </c>
      <c r="C6" s="54">
        <f ca="1">C3+C4</f>
        <v>6395.05</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59</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IFERROR(__xludf.DUMMYFUNCTION("""COMPUTED_VALUE"""),"Donations")</f>
        <v>Donations</v>
      </c>
      <c r="C18" s="52">
        <f ca="1">IFERROR(__xludf.DUMMYFUNCTION("""COMPUTED_VALUE"""),0)</f>
        <v>0</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IFERROR(__xludf.DUMMYFUNCTION("""COMPUTED_VALUE"""),"Donations")</f>
        <v>Donations</v>
      </c>
      <c r="B19" s="30" t="str">
        <f ca="1">IFERROR(__xludf.DUMMYFUNCTION("""COMPUTED_VALUE"""),"AHS VOLLEYBALL B DONATIONS")</f>
        <v>AHS VOLLEYBALL B DONATIONS</v>
      </c>
      <c r="C19" s="52">
        <f ca="1">IFERROR(__xludf.DUMMYFUNCTION("""COMPUTED_VALUE"""),-5505)</f>
        <v>-5505</v>
      </c>
      <c r="D19" s="55">
        <f ca="1">IFERROR(__xludf.DUMMYFUNCTION("""COMPUTED_VALUE"""),45474)</f>
        <v>45474</v>
      </c>
      <c r="E19" s="48"/>
      <c r="F19" s="49" t="str">
        <f ca="1">IFERROR(__xludf.DUMMYFUNCTION("""COMPUTED_VALUE"""),"ACCR DONATION")</f>
        <v>ACCR DONATION</v>
      </c>
      <c r="G19" s="56">
        <f ca="1">IFERROR(__xludf.DUMMYFUNCTION("""COMPUTED_VALUE"""),8692)</f>
        <v>8692</v>
      </c>
      <c r="H19" s="57" t="str">
        <f ca="1">IFERROR(__xludf.DUMMYFUNCTION("""COMPUTED_VALUE"""),"0000")</f>
        <v>0000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IFERROR(__xludf.DUMMYFUNCTION("""COMPUTED_VALUE"""),"Donations")</f>
        <v>Donations</v>
      </c>
      <c r="B20" s="30" t="str">
        <f ca="1">IFERROR(__xludf.DUMMYFUNCTION("""COMPUTED_VALUE"""),"AHS VOLLEYBALL B DONATIONS")</f>
        <v>AHS VOLLEYBALL B DONATIONS</v>
      </c>
      <c r="C20" s="48">
        <f ca="1">IFERROR(__xludf.DUMMYFUNCTION("""COMPUTED_VALUE"""),5505)</f>
        <v>5505</v>
      </c>
      <c r="D20" s="55">
        <f ca="1">IFERROR(__xludf.DUMMYFUNCTION("""COMPUTED_VALUE"""),45512)</f>
        <v>45512</v>
      </c>
      <c r="E20" s="48" t="str">
        <f ca="1">IFERROR(__xludf.DUMMYFUNCTION("""COMPUTED_VALUE"""),"ACALANES BOOSTER CLUB")</f>
        <v>ACALANES BOOSTER CLUB</v>
      </c>
      <c r="F20" s="49" t="str">
        <f ca="1">IFERROR(__xludf.DUMMYFUNCTION("""COMPUTED_VALUE"""),"DONATION")</f>
        <v>DONATION</v>
      </c>
      <c r="G20" s="56">
        <f ca="1">IFERROR(__xludf.DUMMYFUNCTION("""COMPUTED_VALUE"""),8692)</f>
        <v>8692</v>
      </c>
      <c r="H20" s="57" t="str">
        <f ca="1">IFERROR(__xludf.DUMMYFUNCTION("""COMPUTED_VALUE"""),"0000")</f>
        <v>0000</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 ")</f>
        <v xml:space="preserve"> </v>
      </c>
      <c r="B21" s="30" t="str">
        <f ca="1">IFERROR(__xludf.DUMMYFUNCTION("""COMPUTED_VALUE""")," ")</f>
        <v xml:space="preserve"> </v>
      </c>
      <c r="C21" s="52" t="str">
        <f ca="1">IFERROR(__xludf.DUMMYFUNCTION("""COMPUTED_VALUE""")," ")</f>
        <v xml:space="preserve"> </v>
      </c>
      <c r="D21" s="55" t="str">
        <f ca="1">IFERROR(__xludf.DUMMYFUNCTION("""COMPUTED_VALUE""")," ")</f>
        <v xml:space="preserve"> </v>
      </c>
      <c r="E21" s="48" t="str">
        <f ca="1">IFERROR(__xludf.DUMMYFUNCTION("""COMPUTED_VALUE""")," ")</f>
        <v xml:space="preserve"> </v>
      </c>
      <c r="F21" s="49" t="str">
        <f ca="1">IFERROR(__xludf.DUMMYFUNCTION("""COMPUTED_VALUE""")," ")</f>
        <v xml:space="preserve"> </v>
      </c>
      <c r="G21" s="56" t="str">
        <f ca="1">IFERROR(__xludf.DUMMYFUNCTION("""COMPUTED_VALUE""")," ")</f>
        <v xml:space="preserve"> </v>
      </c>
      <c r="H21" s="57" t="str">
        <f ca="1">IFERROR(__xludf.DUMMYFUNCTION("""COMPUTED_VALUE""")," ")</f>
        <v xml:space="preserve"> </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IFERROR(__xludf.DUMMYFUNCTION("""COMPUTED_VALUE"""),"Subtotal")</f>
        <v>Subtotal</v>
      </c>
      <c r="B22" s="30" t="str">
        <f ca="1">IFERROR(__xludf.DUMMYFUNCTION("""COMPUTED_VALUE"""),"Equipment")</f>
        <v>Equipment</v>
      </c>
      <c r="C22" s="52">
        <f ca="1">IFERROR(__xludf.DUMMYFUNCTION("""COMPUTED_VALUE"""),-443.59)</f>
        <v>-443.59</v>
      </c>
      <c r="D22" s="55" t="str">
        <f ca="1">IFERROR(__xludf.DUMMYFUNCTION("""COMPUTED_VALUE""")," ")</f>
        <v xml:space="preserve"> </v>
      </c>
      <c r="E22" s="48" t="str">
        <f ca="1">IFERROR(__xludf.DUMMYFUNCTION("""COMPUTED_VALUE""")," ")</f>
        <v xml:space="preserve"> </v>
      </c>
      <c r="F22" s="49" t="str">
        <f ca="1">IFERROR(__xludf.DUMMYFUNCTION("""COMPUTED_VALUE""")," ")</f>
        <v xml:space="preserve"> </v>
      </c>
      <c r="G22" s="56" t="str">
        <f ca="1">IFERROR(__xludf.DUMMYFUNCTION("""COMPUTED_VALUE""")," ")</f>
        <v xml:space="preserve"> </v>
      </c>
      <c r="H22" s="57" t="str">
        <f ca="1">IFERROR(__xludf.DUMMYFUNCTION("""COMPUTED_VALUE""")," ")</f>
        <v xml:space="preserve"> </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IFERROR(__xludf.DUMMYFUNCTION("""COMPUTED_VALUE"""),"Equipment")</f>
        <v>Equipment</v>
      </c>
      <c r="B23" s="30" t="str">
        <f ca="1">IFERROR(__xludf.DUMMYFUNCTION("""COMPUTED_VALUE"""),"AHS VOLLEYBALL B EQUIPMENT")</f>
        <v>AHS VOLLEYBALL B EQUIPMENT</v>
      </c>
      <c r="C23" s="52">
        <f ca="1">IFERROR(__xludf.DUMMYFUNCTION("""COMPUTED_VALUE"""),-443.59)</f>
        <v>-443.59</v>
      </c>
      <c r="D23" s="55">
        <f ca="1">IFERROR(__xludf.DUMMYFUNCTION("""COMPUTED_VALUE"""),45700)</f>
        <v>45700</v>
      </c>
      <c r="E23" s="48" t="str">
        <f ca="1">IFERROR(__xludf.DUMMYFUNCTION("""COMPUTED_VALUE"""),"ALL VOLLEYBALL INC")</f>
        <v>ALL VOLLEYBALL INC</v>
      </c>
      <c r="F23" s="49" t="str">
        <f ca="1">IFERROR(__xludf.DUMMYFUNCTION("""COMPUTED_VALUE"""),"INV-056183")</f>
        <v>INV-056183</v>
      </c>
      <c r="G23" s="56">
        <f ca="1">IFERROR(__xludf.DUMMYFUNCTION("""COMPUTED_VALUE"""),4343)</f>
        <v>4343</v>
      </c>
      <c r="H23" s="57" t="str">
        <f ca="1">IFERROR(__xludf.DUMMYFUNCTION("""COMPUTED_VALUE"""),"4200")</f>
        <v>4200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 ")</f>
        <v xml:space="preserve"> </v>
      </c>
      <c r="B24" s="30" t="str">
        <f ca="1">IFERROR(__xludf.DUMMYFUNCTION("""COMPUTED_VALUE""")," ")</f>
        <v xml:space="preserve"> </v>
      </c>
      <c r="C24" s="52" t="str">
        <f ca="1">IFERROR(__xludf.DUMMYFUNCTION("""COMPUTED_VALUE""")," ")</f>
        <v xml:space="preserve"> </v>
      </c>
      <c r="D24" s="55" t="str">
        <f ca="1">IFERROR(__xludf.DUMMYFUNCTION("""COMPUTED_VALUE""")," ")</f>
        <v xml:space="preserve"> </v>
      </c>
      <c r="E24" s="48" t="str">
        <f ca="1">IFERROR(__xludf.DUMMYFUNCTION("""COMPUTED_VALUE""")," ")</f>
        <v xml:space="preserve"> </v>
      </c>
      <c r="F24" s="49" t="str">
        <f ca="1">IFERROR(__xludf.DUMMYFUNCTION("""COMPUTED_VALUE""")," ")</f>
        <v xml:space="preserve"> </v>
      </c>
      <c r="G24" s="56" t="str">
        <f ca="1">IFERROR(__xludf.DUMMYFUNCTION("""COMPUTED_VALUE""")," ")</f>
        <v xml:space="preserve"> </v>
      </c>
      <c r="H24" s="57" t="str">
        <f ca="1">IFERROR(__xludf.DUMMYFUNCTION("""COMPUTED_VALUE""")," ")</f>
        <v xml:space="preserve"> </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IFERROR(__xludf.DUMMYFUNCTION("""COMPUTED_VALUE"""),"Subtotal")</f>
        <v>Subtotal</v>
      </c>
      <c r="B25" s="30" t="str">
        <f ca="1">IFERROR(__xludf.DUMMYFUNCTION("""COMPUTED_VALUE"""),"Fundraising")</f>
        <v>Fundraising</v>
      </c>
      <c r="C25" s="52">
        <f ca="1">IFERROR(__xludf.DUMMYFUNCTION("""COMPUTED_VALUE"""),1444.5)</f>
        <v>1444.5</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IFERROR(__xludf.DUMMYFUNCTION("""COMPUTED_VALUE"""),"Fundraising")</f>
        <v>Fundraising</v>
      </c>
      <c r="B26" s="30" t="str">
        <f ca="1">IFERROR(__xludf.DUMMYFUNCTION("""COMPUTED_VALUE"""),"AHS VOLLEYBALL B FUNDRSNG")</f>
        <v>AHS VOLLEYBALL B FUNDRSNG</v>
      </c>
      <c r="C26" s="52">
        <f ca="1">IFERROR(__xludf.DUMMYFUNCTION("""COMPUTED_VALUE"""),1444.5)</f>
        <v>1444.5</v>
      </c>
      <c r="D26" s="55">
        <f ca="1">IFERROR(__xludf.DUMMYFUNCTION("""COMPUTED_VALUE"""),45539)</f>
        <v>45539</v>
      </c>
      <c r="E26" s="48" t="str">
        <f ca="1">IFERROR(__xludf.DUMMYFUNCTION("""COMPUTED_VALUE"""),"CHECK &amp; CASH")</f>
        <v>CHECK &amp; CASH</v>
      </c>
      <c r="F26" s="49" t="str">
        <f ca="1">IFERROR(__xludf.DUMMYFUNCTION("""COMPUTED_VALUE"""),"FUNDRAISING")</f>
        <v>FUNDRAISING</v>
      </c>
      <c r="G26" s="56">
        <f ca="1">IFERROR(__xludf.DUMMYFUNCTION("""COMPUTED_VALUE"""),8693)</f>
        <v>8693</v>
      </c>
      <c r="H26" s="57" t="str">
        <f ca="1">IFERROR(__xludf.DUMMYFUNCTION("""COMPUTED_VALUE"""),"0000")</f>
        <v>0000</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 ")</f>
        <v xml:space="preserve"> </v>
      </c>
      <c r="B27" s="30" t="str">
        <f ca="1">IFERROR(__xludf.DUMMYFUNCTION("""COMPUTED_VALUE""")," ")</f>
        <v xml:space="preserve"> </v>
      </c>
      <c r="C27" s="52" t="str">
        <f ca="1">IFERROR(__xludf.DUMMYFUNCTION("""COMPUTED_VALUE""")," ")</f>
        <v xml:space="preserve"> </v>
      </c>
      <c r="D27" s="55" t="str">
        <f ca="1">IFERROR(__xludf.DUMMYFUNCTION("""COMPUTED_VALUE""")," ")</f>
        <v xml:space="preserve"> </v>
      </c>
      <c r="E27" s="48" t="str">
        <f ca="1">IFERROR(__xludf.DUMMYFUNCTION("""COMPUTED_VALUE""")," ")</f>
        <v xml:space="preserve"> </v>
      </c>
      <c r="F27" s="49" t="str">
        <f ca="1">IFERROR(__xludf.DUMMYFUNCTION("""COMPUTED_VALUE""")," ")</f>
        <v xml:space="preserve"> </v>
      </c>
      <c r="G27" s="56" t="str">
        <f ca="1">IFERROR(__xludf.DUMMYFUNCTION("""COMPUTED_VALUE""")," ")</f>
        <v xml:space="preserve"> </v>
      </c>
      <c r="H27" s="57" t="str">
        <f ca="1">IFERROR(__xludf.DUMMYFUNCTION("""COMPUTED_VALUE""")," ")</f>
        <v xml:space="preserve"> </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IFERROR(__xludf.DUMMYFUNCTION("""COMPUTED_VALUE"""),"Subtotal")</f>
        <v>Subtotal</v>
      </c>
      <c r="B28" s="30" t="str">
        <f ca="1">IFERROR(__xludf.DUMMYFUNCTION("""COMPUTED_VALUE"""),"Other")</f>
        <v>Other</v>
      </c>
      <c r="C28" s="52">
        <f ca="1">IFERROR(__xludf.DUMMYFUNCTION("""COMPUTED_VALUE"""),-95.13)</f>
        <v>-95.13</v>
      </c>
      <c r="D28" s="55" t="str">
        <f ca="1">IFERROR(__xludf.DUMMYFUNCTION("""COMPUTED_VALUE""")," ")</f>
        <v xml:space="preserve"> </v>
      </c>
      <c r="E28" s="48" t="str">
        <f ca="1">IFERROR(__xludf.DUMMYFUNCTION("""COMPUTED_VALUE""")," ")</f>
        <v xml:space="preserve"> </v>
      </c>
      <c r="F28" s="49" t="str">
        <f ca="1">IFERROR(__xludf.DUMMYFUNCTION("""COMPUTED_VALUE""")," ")</f>
        <v xml:space="preserve"> </v>
      </c>
      <c r="G28" s="56" t="str">
        <f ca="1">IFERROR(__xludf.DUMMYFUNCTION("""COMPUTED_VALUE""")," ")</f>
        <v xml:space="preserve"> </v>
      </c>
      <c r="H28" s="57" t="str">
        <f ca="1">IFERROR(__xludf.DUMMYFUNCTION("""COMPUTED_VALUE""")," ")</f>
        <v xml:space="preserve"> </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IFERROR(__xludf.DUMMYFUNCTION("""COMPUTED_VALUE"""),"Other")</f>
        <v>Other</v>
      </c>
      <c r="B29" s="30" t="str">
        <f ca="1">IFERROR(__xludf.DUMMYFUNCTION("""COMPUTED_VALUE"""),"AHS VOLLEYBALL B OTHER")</f>
        <v>AHS VOLLEYBALL B OTHER</v>
      </c>
      <c r="C29" s="48">
        <f ca="1">IFERROR(__xludf.DUMMYFUNCTION("""COMPUTED_VALUE"""),-70)</f>
        <v>-70</v>
      </c>
      <c r="D29" s="55">
        <f ca="1">IFERROR(__xludf.DUMMYFUNCTION("""COMPUTED_VALUE"""),45553)</f>
        <v>45553</v>
      </c>
      <c r="E29" s="48" t="str">
        <f ca="1">IFERROR(__xludf.DUMMYFUNCTION("""COMPUTED_VALUE"""),"ACALANES HIGH SCHOOL/REVOLVING FUND")</f>
        <v>ACALANES HIGH SCHOOL/REVOLVING FUND</v>
      </c>
      <c r="F29" s="49" t="str">
        <f ca="1">IFERROR(__xludf.DUMMYFUNCTION("""COMPUTED_VALUE"""),"9/11/24-HOME TEAM-BVB SR BANNE")</f>
        <v>9/11/24-HOME TEAM-BVB SR BANNE</v>
      </c>
      <c r="G29" s="56">
        <f ca="1">IFERROR(__xludf.DUMMYFUNCTION("""COMPUTED_VALUE"""),4344)</f>
        <v>4344</v>
      </c>
      <c r="H29" s="57" t="str">
        <f ca="1">IFERROR(__xludf.DUMMYFUNCTION("""COMPUTED_VALUE"""),"4200")</f>
        <v>4200</v>
      </c>
      <c r="I29" s="30"/>
      <c r="J29" s="30"/>
      <c r="K29" s="30"/>
      <c r="L29" s="30"/>
      <c r="M29" s="30"/>
      <c r="N29" s="30"/>
      <c r="O29" s="30"/>
      <c r="P29" s="30"/>
      <c r="Q29" s="30"/>
      <c r="R29" s="30"/>
      <c r="S29" s="30"/>
      <c r="T29" s="30"/>
      <c r="U29" s="30"/>
      <c r="V29" s="30"/>
      <c r="W29" s="30"/>
      <c r="X29" s="30"/>
      <c r="Y29" s="30"/>
      <c r="Z29" s="30"/>
      <c r="AA29" s="30"/>
    </row>
    <row r="30" spans="1:27">
      <c r="A30" s="30" t="str">
        <f ca="1">IFERROR(__xludf.DUMMYFUNCTION("""COMPUTED_VALUE"""),"Other")</f>
        <v>Other</v>
      </c>
      <c r="B30" s="30" t="str">
        <f ca="1">IFERROR(__xludf.DUMMYFUNCTION("""COMPUTED_VALUE"""),"AHS VOLLEYBALL B STDNT SAL")</f>
        <v>AHS VOLLEYBALL B STDNT SAL</v>
      </c>
      <c r="C30" s="52">
        <f ca="1">IFERROR(__xludf.DUMMYFUNCTION("""COMPUTED_VALUE"""),-24.75)</f>
        <v>-24.75</v>
      </c>
      <c r="D30" s="55">
        <f ca="1">IFERROR(__xludf.DUMMYFUNCTION("""COMPUTED_VALUE"""),45726)</f>
        <v>45726</v>
      </c>
      <c r="E30" s="48"/>
      <c r="F30" s="49" t="str">
        <f ca="1">IFERROR(__xludf.DUMMYFUNCTION("""COMPUTED_VALUE"""),"WARRANT=25598 RUN=2 SUPPLEME")</f>
        <v>WARRANT=25598 RUN=2 SUPPLEME</v>
      </c>
      <c r="G30" s="56">
        <f ca="1">IFERROR(__xludf.DUMMYFUNCTION("""COMPUTED_VALUE"""),2980)</f>
        <v>2980</v>
      </c>
      <c r="H30" s="57" t="str">
        <f ca="1">IFERROR(__xludf.DUMMYFUNCTION("""COMPUTED_VALUE"""),"4100")</f>
        <v>4100</v>
      </c>
      <c r="I30" s="30"/>
      <c r="J30" s="30"/>
      <c r="K30" s="30"/>
      <c r="L30" s="30"/>
      <c r="M30" s="30"/>
      <c r="N30" s="30"/>
      <c r="O30" s="30"/>
      <c r="P30" s="30"/>
      <c r="Q30" s="30"/>
      <c r="R30" s="30"/>
      <c r="S30" s="30"/>
      <c r="T30" s="30"/>
      <c r="U30" s="30"/>
      <c r="V30" s="30"/>
      <c r="W30" s="30"/>
      <c r="X30" s="30"/>
      <c r="Y30" s="30"/>
      <c r="Z30" s="30"/>
      <c r="AA30" s="30"/>
    </row>
    <row r="31" spans="1:27">
      <c r="A31" s="30" t="str">
        <f ca="1">IFERROR(__xludf.DUMMYFUNCTION("""COMPUTED_VALUE"""),"Other")</f>
        <v>Other</v>
      </c>
      <c r="B31" s="30" t="str">
        <f ca="1">IFERROR(__xludf.DUMMYFUNCTION("""COMPUTED_VALUE"""),"AHS VOLLEYBALL B HRLY WC")</f>
        <v>AHS VOLLEYBALL B HRLY WC</v>
      </c>
      <c r="C31" s="52">
        <f ca="1">IFERROR(__xludf.DUMMYFUNCTION("""COMPUTED_VALUE"""),-0.38)</f>
        <v>-0.38</v>
      </c>
      <c r="D31" s="55">
        <f ca="1">IFERROR(__xludf.DUMMYFUNCTION("""COMPUTED_VALUE"""),45726)</f>
        <v>45726</v>
      </c>
      <c r="E31" s="48"/>
      <c r="F31" s="49" t="str">
        <f ca="1">IFERROR(__xludf.DUMMYFUNCTION("""COMPUTED_VALUE"""),"WARRANT=25598 RUN=2 SUPPLEME")</f>
        <v>WARRANT=25598 RUN=2 SUPPLEME</v>
      </c>
      <c r="G31" s="56">
        <f ca="1">IFERROR(__xludf.DUMMYFUNCTION("""COMPUTED_VALUE"""),3602)</f>
        <v>3602</v>
      </c>
      <c r="H31" s="57" t="str">
        <f ca="1">IFERROR(__xludf.DUMMYFUNCTION("""COMPUTED_VALUE"""),"4100")</f>
        <v>4100</v>
      </c>
      <c r="I31" s="30"/>
      <c r="J31" s="30"/>
      <c r="K31" s="30"/>
      <c r="L31" s="30"/>
      <c r="M31" s="30"/>
      <c r="N31" s="30"/>
      <c r="O31" s="30"/>
      <c r="P31" s="30"/>
      <c r="Q31" s="30"/>
      <c r="R31" s="30"/>
      <c r="S31" s="30"/>
      <c r="T31" s="30"/>
      <c r="U31" s="30"/>
      <c r="V31" s="30"/>
      <c r="W31" s="30"/>
      <c r="X31" s="30"/>
      <c r="Y31" s="30"/>
      <c r="Z31" s="30"/>
      <c r="AA31" s="30"/>
    </row>
    <row r="32" spans="1:27">
      <c r="A32" s="30"/>
      <c r="B32" s="30"/>
      <c r="C32" s="48"/>
      <c r="D32" s="55"/>
      <c r="E32" s="48"/>
      <c r="F32" s="49"/>
      <c r="G32" s="56"/>
      <c r="H32" s="57"/>
      <c r="I32" s="30"/>
      <c r="J32" s="30"/>
      <c r="K32" s="30"/>
      <c r="L32" s="30"/>
      <c r="M32" s="30"/>
      <c r="N32" s="30"/>
      <c r="O32" s="30"/>
      <c r="P32" s="30"/>
      <c r="Q32" s="30"/>
      <c r="R32" s="30"/>
      <c r="S32" s="30"/>
      <c r="T32" s="30"/>
      <c r="U32" s="30"/>
      <c r="V32" s="30"/>
      <c r="W32" s="30"/>
      <c r="X32" s="30"/>
      <c r="Y32" s="30"/>
      <c r="Z32" s="30"/>
      <c r="AA32" s="30"/>
    </row>
    <row r="33" spans="1:27">
      <c r="A33" s="30"/>
      <c r="B33" s="30"/>
      <c r="C33" s="52"/>
      <c r="D33" s="55"/>
      <c r="E33" s="48"/>
      <c r="F33" s="49"/>
      <c r="G33" s="56"/>
      <c r="H33" s="57"/>
      <c r="I33" s="30"/>
      <c r="J33" s="30"/>
      <c r="K33" s="30"/>
      <c r="L33" s="30"/>
      <c r="M33" s="30"/>
      <c r="N33" s="30"/>
      <c r="O33" s="30"/>
      <c r="P33" s="30"/>
      <c r="Q33" s="30"/>
      <c r="R33" s="30"/>
      <c r="S33" s="30"/>
      <c r="T33" s="30"/>
      <c r="U33" s="30"/>
      <c r="V33" s="30"/>
      <c r="W33" s="30"/>
      <c r="X33" s="30"/>
      <c r="Y33" s="30"/>
      <c r="Z33" s="30"/>
      <c r="AA33" s="30"/>
    </row>
    <row r="34" spans="1:27">
      <c r="A34" s="30"/>
      <c r="B34" s="30"/>
      <c r="C34" s="52"/>
      <c r="D34" s="55"/>
      <c r="E34" s="48"/>
      <c r="F34" s="49"/>
      <c r="G34" s="56"/>
      <c r="H34" s="57"/>
      <c r="I34" s="30"/>
      <c r="J34" s="30"/>
      <c r="K34" s="30"/>
      <c r="L34" s="30"/>
      <c r="M34" s="30"/>
      <c r="N34" s="30"/>
      <c r="O34" s="30"/>
      <c r="P34" s="30"/>
      <c r="Q34" s="30"/>
      <c r="R34" s="30"/>
      <c r="S34" s="30"/>
      <c r="T34" s="30"/>
      <c r="U34" s="30"/>
      <c r="V34" s="30"/>
      <c r="W34" s="30"/>
      <c r="X34" s="30"/>
      <c r="Y34" s="30"/>
      <c r="Z34" s="30"/>
      <c r="AA34" s="30"/>
    </row>
    <row r="35" spans="1:27">
      <c r="A35" s="30"/>
      <c r="B35" s="30"/>
      <c r="C35" s="52"/>
      <c r="D35" s="55"/>
      <c r="E35" s="48"/>
      <c r="F35" s="49"/>
      <c r="G35" s="56"/>
      <c r="H35" s="57"/>
      <c r="I35" s="30"/>
      <c r="J35" s="30"/>
      <c r="K35" s="30"/>
      <c r="L35" s="30"/>
      <c r="M35" s="30"/>
      <c r="N35" s="30"/>
      <c r="O35" s="30"/>
      <c r="P35" s="30"/>
      <c r="Q35" s="30"/>
      <c r="R35" s="30"/>
      <c r="S35" s="30"/>
      <c r="T35" s="30"/>
      <c r="U35" s="30"/>
      <c r="V35" s="30"/>
      <c r="W35" s="30"/>
      <c r="X35" s="30"/>
      <c r="Y35" s="30"/>
      <c r="Z35" s="30"/>
      <c r="AA35" s="30"/>
    </row>
    <row r="36" spans="1:27">
      <c r="A36" s="30"/>
      <c r="B36" s="30"/>
      <c r="C36" s="52"/>
      <c r="D36" s="55"/>
      <c r="E36" s="48"/>
      <c r="F36" s="49"/>
      <c r="G36" s="56"/>
      <c r="H36" s="57"/>
      <c r="I36" s="30"/>
      <c r="J36" s="30"/>
      <c r="K36" s="30"/>
      <c r="L36" s="30"/>
      <c r="M36" s="30"/>
      <c r="N36" s="30"/>
      <c r="O36" s="30"/>
      <c r="P36" s="30"/>
      <c r="Q36" s="30"/>
      <c r="R36" s="30"/>
      <c r="S36" s="30"/>
      <c r="T36" s="30"/>
      <c r="U36" s="30"/>
      <c r="V36" s="30"/>
      <c r="W36" s="30"/>
      <c r="X36" s="30"/>
      <c r="Y36" s="30"/>
      <c r="Z36" s="30"/>
      <c r="AA36" s="30"/>
    </row>
    <row r="37" spans="1:27">
      <c r="A37" s="30"/>
      <c r="B37" s="30"/>
      <c r="C37" s="52"/>
      <c r="D37" s="55"/>
      <c r="E37" s="48"/>
      <c r="F37" s="49"/>
      <c r="G37" s="56"/>
      <c r="H37" s="57"/>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60</v>
      </c>
      <c r="B2" s="30" t="s">
        <v>47</v>
      </c>
      <c r="C2" s="57">
        <f ca="1">-0.04*SUMIF(A4:A2502,"Contributions",C4:C2502)</f>
        <v>0</v>
      </c>
      <c r="D2" s="30"/>
      <c r="E2" s="30" t="s">
        <v>61</v>
      </c>
      <c r="F2" s="30"/>
      <c r="G2" s="57">
        <v>5844</v>
      </c>
      <c r="H2" s="57">
        <v>4200</v>
      </c>
      <c r="I2" s="30"/>
      <c r="J2" s="30"/>
      <c r="K2" s="30"/>
      <c r="L2" s="48"/>
      <c r="M2" s="49"/>
      <c r="N2" s="30"/>
      <c r="O2" s="30"/>
      <c r="P2" s="30"/>
      <c r="Q2" s="30"/>
      <c r="R2" s="30"/>
      <c r="S2" s="30"/>
      <c r="T2" s="30"/>
      <c r="U2" s="30"/>
      <c r="V2" s="30"/>
      <c r="W2" s="30"/>
      <c r="X2" s="30"/>
      <c r="Y2" s="30"/>
      <c r="Z2" s="30"/>
    </row>
    <row r="3" spans="1:26">
      <c r="A3" s="30" t="s">
        <v>62</v>
      </c>
      <c r="B3" s="30" t="s">
        <v>47</v>
      </c>
      <c r="C3" s="57">
        <f ca="1">-1*C2</f>
        <v>0</v>
      </c>
      <c r="D3" s="30"/>
      <c r="E3" s="30"/>
      <c r="F3" s="30" t="s">
        <v>63</v>
      </c>
      <c r="G3" s="57">
        <v>8699</v>
      </c>
      <c r="H3" s="50" t="s">
        <v>64</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asc"",0)"),"Donations")</f>
        <v>Donations</v>
      </c>
      <c r="B4" s="30" t="str">
        <f ca="1">IFERROR(__xludf.DUMMYFUNCTION("""COMPUTED_VALUE"""),"AHS VOLLEYBALL B DONATIONS")</f>
        <v>AHS VOLLEYBALL B DONATIONS</v>
      </c>
      <c r="C4" s="57">
        <f ca="1">IFERROR(__xludf.DUMMYFUNCTION("""COMPUTED_VALUE"""),-5505)</f>
        <v>-5505</v>
      </c>
      <c r="D4" s="58">
        <f ca="1">IFERROR(__xludf.DUMMYFUNCTION("""COMPUTED_VALUE"""),45474)</f>
        <v>45474</v>
      </c>
      <c r="E4" s="30"/>
      <c r="F4" s="30" t="str">
        <f ca="1">IFERROR(__xludf.DUMMYFUNCTION("""COMPUTED_VALUE"""),"ACCR DONATION")</f>
        <v>ACCR DONATION</v>
      </c>
      <c r="G4" s="57">
        <f ca="1">IFERROR(__xludf.DUMMYFUNCTION("""COMPUTED_VALUE"""),8692)</f>
        <v>8692</v>
      </c>
      <c r="H4" s="30" t="str">
        <f ca="1">IFERROR(__xludf.DUMMYFUNCTION("""COMPUTED_VALUE"""),"0000")</f>
        <v>0000</v>
      </c>
      <c r="I4" s="30"/>
      <c r="J4" s="30"/>
      <c r="K4" s="30"/>
      <c r="L4" s="48"/>
      <c r="M4" s="49"/>
      <c r="N4" s="30"/>
      <c r="O4" s="30"/>
      <c r="P4" s="30"/>
      <c r="Q4" s="30"/>
      <c r="R4" s="30"/>
      <c r="S4" s="30"/>
      <c r="T4" s="30"/>
      <c r="U4" s="30"/>
      <c r="V4" s="30"/>
      <c r="W4" s="30"/>
      <c r="X4" s="30"/>
      <c r="Y4" s="30"/>
      <c r="Z4" s="30"/>
    </row>
    <row r="5" spans="1:26">
      <c r="A5" s="30" t="str">
        <f ca="1">IFERROR(__xludf.DUMMYFUNCTION("""COMPUTED_VALUE"""),"Donations")</f>
        <v>Donations</v>
      </c>
      <c r="B5" s="30" t="str">
        <f ca="1">IFERROR(__xludf.DUMMYFUNCTION("""COMPUTED_VALUE"""),"AHS VOLLEYBALL B DONATIONS")</f>
        <v>AHS VOLLEYBALL B DONATIONS</v>
      </c>
      <c r="C5" s="57">
        <f ca="1">IFERROR(__xludf.DUMMYFUNCTION("""COMPUTED_VALUE"""),5505)</f>
        <v>5505</v>
      </c>
      <c r="D5" s="58">
        <f ca="1">IFERROR(__xludf.DUMMYFUNCTION("""COMPUTED_VALUE"""),45512)</f>
        <v>45512</v>
      </c>
      <c r="E5" s="30" t="str">
        <f ca="1">IFERROR(__xludf.DUMMYFUNCTION("""COMPUTED_VALUE"""),"ACALANES BOOSTER CLUB")</f>
        <v>ACALANES BOOSTER CLUB</v>
      </c>
      <c r="F5" s="30" t="str">
        <f ca="1">IFERROR(__xludf.DUMMYFUNCTION("""COMPUTED_VALUE"""),"DONATION")</f>
        <v>DONATION</v>
      </c>
      <c r="G5" s="57">
        <f ca="1">IFERROR(__xludf.DUMMYFUNCTION("""COMPUTED_VALUE"""),8692)</f>
        <v>8692</v>
      </c>
      <c r="H5" s="30" t="str">
        <f ca="1">IFERROR(__xludf.DUMMYFUNCTION("""COMPUTED_VALUE"""),"0000")</f>
        <v>0000</v>
      </c>
      <c r="I5" s="30"/>
      <c r="J5" s="30"/>
      <c r="K5" s="30"/>
      <c r="L5" s="48"/>
      <c r="M5" s="49"/>
      <c r="N5" s="30"/>
      <c r="O5" s="30"/>
      <c r="P5" s="30"/>
      <c r="Q5" s="30"/>
      <c r="R5" s="30"/>
      <c r="S5" s="30"/>
      <c r="T5" s="30"/>
      <c r="U5" s="30"/>
      <c r="V5" s="30"/>
      <c r="W5" s="30"/>
      <c r="X5" s="30"/>
      <c r="Y5" s="30"/>
      <c r="Z5" s="30"/>
    </row>
    <row r="6" spans="1:26">
      <c r="A6" s="30" t="str">
        <f ca="1">IFERROR(__xludf.DUMMYFUNCTION("""COMPUTED_VALUE"""),"Equipment")</f>
        <v>Equipment</v>
      </c>
      <c r="B6" s="30" t="str">
        <f ca="1">IFERROR(__xludf.DUMMYFUNCTION("""COMPUTED_VALUE"""),"AHS VOLLEYBALL B EQUIPMENT")</f>
        <v>AHS VOLLEYBALL B EQUIPMENT</v>
      </c>
      <c r="C6" s="57">
        <f ca="1">IFERROR(__xludf.DUMMYFUNCTION("""COMPUTED_VALUE"""),-443.59)</f>
        <v>-443.59</v>
      </c>
      <c r="D6" s="58">
        <f ca="1">IFERROR(__xludf.DUMMYFUNCTION("""COMPUTED_VALUE"""),45700)</f>
        <v>45700</v>
      </c>
      <c r="E6" s="30" t="str">
        <f ca="1">IFERROR(__xludf.DUMMYFUNCTION("""COMPUTED_VALUE"""),"ALL VOLLEYBALL INC")</f>
        <v>ALL VOLLEYBALL INC</v>
      </c>
      <c r="F6" s="30" t="str">
        <f ca="1">IFERROR(__xludf.DUMMYFUNCTION("""COMPUTED_VALUE"""),"INV-056183")</f>
        <v>INV-056183</v>
      </c>
      <c r="G6" s="57">
        <f ca="1">IFERROR(__xludf.DUMMYFUNCTION("""COMPUTED_VALUE"""),4343)</f>
        <v>4343</v>
      </c>
      <c r="H6" s="30" t="str">
        <f ca="1">IFERROR(__xludf.DUMMYFUNCTION("""COMPUTED_VALUE"""),"4200")</f>
        <v>4200</v>
      </c>
      <c r="I6" s="30"/>
      <c r="J6" s="30"/>
      <c r="K6" s="30"/>
      <c r="L6" s="48"/>
      <c r="M6" s="49"/>
      <c r="N6" s="30"/>
      <c r="O6" s="30"/>
      <c r="P6" s="30"/>
      <c r="Q6" s="30"/>
      <c r="R6" s="30"/>
      <c r="S6" s="30"/>
      <c r="T6" s="30"/>
      <c r="U6" s="30"/>
      <c r="V6" s="30"/>
      <c r="W6" s="30"/>
      <c r="X6" s="30"/>
      <c r="Y6" s="30"/>
      <c r="Z6" s="30"/>
    </row>
    <row r="7" spans="1:26">
      <c r="A7" s="30" t="str">
        <f ca="1">IFERROR(__xludf.DUMMYFUNCTION("""COMPUTED_VALUE"""),"Fundraising")</f>
        <v>Fundraising</v>
      </c>
      <c r="B7" s="30" t="str">
        <f ca="1">IFERROR(__xludf.DUMMYFUNCTION("""COMPUTED_VALUE"""),"AHS VOLLEYBALL B FUNDRSNG")</f>
        <v>AHS VOLLEYBALL B FUNDRSNG</v>
      </c>
      <c r="C7" s="57">
        <f ca="1">IFERROR(__xludf.DUMMYFUNCTION("""COMPUTED_VALUE"""),1444.5)</f>
        <v>1444.5</v>
      </c>
      <c r="D7" s="58">
        <f ca="1">IFERROR(__xludf.DUMMYFUNCTION("""COMPUTED_VALUE"""),45539)</f>
        <v>45539</v>
      </c>
      <c r="E7" s="30" t="str">
        <f ca="1">IFERROR(__xludf.DUMMYFUNCTION("""COMPUTED_VALUE"""),"CHECK &amp; CASH")</f>
        <v>CHECK &amp; CASH</v>
      </c>
      <c r="F7" s="30" t="str">
        <f ca="1">IFERROR(__xludf.DUMMYFUNCTION("""COMPUTED_VALUE"""),"FUNDRAISING")</f>
        <v>FUNDRAISING</v>
      </c>
      <c r="G7" s="57">
        <f ca="1">IFERROR(__xludf.DUMMYFUNCTION("""COMPUTED_VALUE"""),8693)</f>
        <v>8693</v>
      </c>
      <c r="H7" s="30" t="str">
        <f ca="1">IFERROR(__xludf.DUMMYFUNCTION("""COMPUTED_VALUE"""),"0000")</f>
        <v>0000</v>
      </c>
      <c r="I7" s="30"/>
      <c r="J7" s="30"/>
      <c r="K7" s="30"/>
      <c r="L7" s="48"/>
      <c r="M7" s="49"/>
      <c r="N7" s="30"/>
      <c r="O7" s="30"/>
      <c r="P7" s="30"/>
      <c r="Q7" s="30"/>
      <c r="R7" s="30"/>
      <c r="S7" s="30"/>
      <c r="T7" s="30"/>
      <c r="U7" s="30"/>
      <c r="V7" s="30"/>
      <c r="W7" s="30"/>
      <c r="X7" s="30"/>
      <c r="Y7" s="30"/>
      <c r="Z7" s="30"/>
    </row>
    <row r="8" spans="1:26">
      <c r="A8" s="30" t="str">
        <f ca="1">IFERROR(__xludf.DUMMYFUNCTION("""COMPUTED_VALUE"""),"Other")</f>
        <v>Other</v>
      </c>
      <c r="B8" s="30" t="str">
        <f ca="1">IFERROR(__xludf.DUMMYFUNCTION("""COMPUTED_VALUE"""),"AHS VOLLEYBALL B OTHER")</f>
        <v>AHS VOLLEYBALL B OTHER</v>
      </c>
      <c r="C8" s="57">
        <f ca="1">IFERROR(__xludf.DUMMYFUNCTION("""COMPUTED_VALUE"""),-70)</f>
        <v>-70</v>
      </c>
      <c r="D8" s="58">
        <f ca="1">IFERROR(__xludf.DUMMYFUNCTION("""COMPUTED_VALUE"""),45553)</f>
        <v>45553</v>
      </c>
      <c r="E8" s="30" t="str">
        <f ca="1">IFERROR(__xludf.DUMMYFUNCTION("""COMPUTED_VALUE"""),"ACALANES HIGH SCHOOL/REVOLVING FUND")</f>
        <v>ACALANES HIGH SCHOOL/REVOLVING FUND</v>
      </c>
      <c r="F8" s="30" t="str">
        <f ca="1">IFERROR(__xludf.DUMMYFUNCTION("""COMPUTED_VALUE"""),"9/11/24-HOME TEAM-BVB SR BANNE")</f>
        <v>9/11/24-HOME TEAM-BVB SR BANNE</v>
      </c>
      <c r="G8" s="57">
        <f ca="1">IFERROR(__xludf.DUMMYFUNCTION("""COMPUTED_VALUE"""),4344)</f>
        <v>4344</v>
      </c>
      <c r="H8" s="30" t="str">
        <f ca="1">IFERROR(__xludf.DUMMYFUNCTION("""COMPUTED_VALUE"""),"4200")</f>
        <v>4200</v>
      </c>
      <c r="I8" s="30"/>
      <c r="J8" s="30"/>
      <c r="K8" s="30"/>
      <c r="L8" s="48"/>
      <c r="M8" s="49"/>
      <c r="N8" s="30"/>
      <c r="O8" s="30"/>
      <c r="P8" s="30"/>
      <c r="Q8" s="30"/>
      <c r="R8" s="30"/>
      <c r="S8" s="30"/>
      <c r="T8" s="30"/>
      <c r="U8" s="30"/>
      <c r="V8" s="30"/>
      <c r="W8" s="30"/>
      <c r="X8" s="30"/>
      <c r="Y8" s="30"/>
      <c r="Z8" s="30"/>
    </row>
    <row r="9" spans="1:26">
      <c r="A9" s="30" t="str">
        <f ca="1">IFERROR(__xludf.DUMMYFUNCTION("""COMPUTED_VALUE"""),"Other")</f>
        <v>Other</v>
      </c>
      <c r="B9" s="30" t="str">
        <f ca="1">IFERROR(__xludf.DUMMYFUNCTION("""COMPUTED_VALUE"""),"AHS VOLLEYBALL B STDNT SAL")</f>
        <v>AHS VOLLEYBALL B STDNT SAL</v>
      </c>
      <c r="C9" s="57">
        <f ca="1">IFERROR(__xludf.DUMMYFUNCTION("""COMPUTED_VALUE"""),-24.75)</f>
        <v>-24.75</v>
      </c>
      <c r="D9" s="58">
        <f ca="1">IFERROR(__xludf.DUMMYFUNCTION("""COMPUTED_VALUE"""),45726)</f>
        <v>45726</v>
      </c>
      <c r="E9" s="30"/>
      <c r="F9" s="30" t="str">
        <f ca="1">IFERROR(__xludf.DUMMYFUNCTION("""COMPUTED_VALUE"""),"WARRANT=25598 RUN=2 SUPPLEME")</f>
        <v>WARRANT=25598 RUN=2 SUPPLEME</v>
      </c>
      <c r="G9" s="57">
        <f ca="1">IFERROR(__xludf.DUMMYFUNCTION("""COMPUTED_VALUE"""),2980)</f>
        <v>2980</v>
      </c>
      <c r="H9" s="30" t="str">
        <f ca="1">IFERROR(__xludf.DUMMYFUNCTION("""COMPUTED_VALUE"""),"4100")</f>
        <v>4100</v>
      </c>
      <c r="I9" s="30"/>
      <c r="J9" s="30"/>
      <c r="K9" s="30"/>
      <c r="L9" s="48"/>
      <c r="M9" s="49"/>
      <c r="N9" s="30"/>
      <c r="O9" s="30"/>
      <c r="P9" s="30"/>
      <c r="Q9" s="30"/>
      <c r="R9" s="30"/>
      <c r="S9" s="30"/>
      <c r="T9" s="30"/>
      <c r="U9" s="30"/>
      <c r="V9" s="30"/>
      <c r="W9" s="30"/>
      <c r="X9" s="30"/>
      <c r="Y9" s="30"/>
      <c r="Z9" s="30"/>
    </row>
    <row r="10" spans="1:26">
      <c r="A10" s="30" t="str">
        <f ca="1">IFERROR(__xludf.DUMMYFUNCTION("""COMPUTED_VALUE"""),"Other")</f>
        <v>Other</v>
      </c>
      <c r="B10" s="30" t="str">
        <f ca="1">IFERROR(__xludf.DUMMYFUNCTION("""COMPUTED_VALUE"""),"AHS VOLLEYBALL B HRLY WC")</f>
        <v>AHS VOLLEYBALL B HRLY WC</v>
      </c>
      <c r="C10" s="57">
        <f ca="1">IFERROR(__xludf.DUMMYFUNCTION("""COMPUTED_VALUE"""),-0.38)</f>
        <v>-0.38</v>
      </c>
      <c r="D10" s="58">
        <f ca="1">IFERROR(__xludf.DUMMYFUNCTION("""COMPUTED_VALUE"""),45726)</f>
        <v>45726</v>
      </c>
      <c r="E10" s="30"/>
      <c r="F10" s="30" t="str">
        <f ca="1">IFERROR(__xludf.DUMMYFUNCTION("""COMPUTED_VALUE"""),"WARRANT=25598 RUN=2 SUPPLEME")</f>
        <v>WARRANT=25598 RUN=2 SUPPLEME</v>
      </c>
      <c r="G10" s="57">
        <f ca="1">IFERROR(__xludf.DUMMYFUNCTION("""COMPUTED_VALUE"""),3602)</f>
        <v>3602</v>
      </c>
      <c r="H10" s="30" t="str">
        <f ca="1">IFERROR(__xludf.DUMMYFUNCTION("""COMPUTED_VALUE"""),"4100")</f>
        <v>4100</v>
      </c>
      <c r="I10" s="30"/>
      <c r="J10" s="30"/>
      <c r="K10" s="30"/>
      <c r="L10" s="48"/>
      <c r="M10" s="49"/>
      <c r="N10" s="30"/>
      <c r="O10" s="30"/>
      <c r="P10" s="30"/>
      <c r="Q10" s="30"/>
      <c r="R10" s="30"/>
      <c r="S10" s="30"/>
      <c r="T10" s="30"/>
      <c r="U10" s="30"/>
      <c r="V10" s="30"/>
      <c r="W10" s="30"/>
      <c r="X10" s="30"/>
      <c r="Y10" s="30"/>
      <c r="Z10" s="30"/>
    </row>
    <row r="11" spans="1:26">
      <c r="A11" s="30"/>
      <c r="B11" s="30"/>
      <c r="C11" s="57"/>
      <c r="D11" s="58"/>
      <c r="E11" s="30"/>
      <c r="F11" s="30"/>
      <c r="G11" s="57"/>
      <c r="H11" s="30"/>
      <c r="I11" s="30"/>
      <c r="J11" s="30"/>
      <c r="K11" s="30"/>
      <c r="L11" s="48"/>
      <c r="M11" s="49"/>
      <c r="N11" s="30"/>
      <c r="O11" s="30"/>
      <c r="P11" s="30"/>
      <c r="Q11" s="30"/>
      <c r="R11" s="30"/>
      <c r="S11" s="30"/>
      <c r="T11" s="30"/>
      <c r="U11" s="30"/>
      <c r="V11" s="30"/>
      <c r="W11" s="30"/>
      <c r="X11" s="30"/>
      <c r="Y11" s="30"/>
      <c r="Z11" s="30"/>
    </row>
    <row r="12" spans="1:26">
      <c r="A12" s="30"/>
      <c r="B12" s="30"/>
      <c r="C12" s="57"/>
      <c r="D12" s="58"/>
      <c r="E12" s="30"/>
      <c r="F12" s="30"/>
      <c r="G12" s="57"/>
      <c r="H12" s="30"/>
      <c r="I12" s="30"/>
      <c r="J12" s="30"/>
      <c r="K12" s="30"/>
      <c r="L12" s="48"/>
      <c r="M12" s="49"/>
      <c r="N12" s="30"/>
      <c r="O12" s="30"/>
      <c r="P12" s="30"/>
      <c r="Q12" s="30"/>
      <c r="R12" s="30"/>
      <c r="S12" s="30"/>
      <c r="T12" s="30"/>
      <c r="U12" s="30"/>
      <c r="V12" s="30"/>
      <c r="W12" s="30"/>
      <c r="X12" s="30"/>
      <c r="Y12" s="30"/>
      <c r="Z12" s="30"/>
    </row>
    <row r="13" spans="1:26">
      <c r="A13" s="30"/>
      <c r="B13" s="30"/>
      <c r="C13" s="57"/>
      <c r="D13" s="58"/>
      <c r="E13" s="30"/>
      <c r="F13" s="30"/>
      <c r="G13" s="57"/>
      <c r="H13" s="30"/>
      <c r="I13" s="30"/>
      <c r="J13" s="30"/>
      <c r="K13" s="30"/>
      <c r="L13" s="48"/>
      <c r="M13" s="49"/>
      <c r="N13" s="30"/>
      <c r="O13" s="30"/>
      <c r="P13" s="30"/>
      <c r="Q13" s="30"/>
      <c r="R13" s="30"/>
      <c r="S13" s="30"/>
      <c r="T13" s="30"/>
      <c r="U13" s="30"/>
      <c r="V13" s="30"/>
      <c r="W13" s="30"/>
      <c r="X13" s="30"/>
      <c r="Y13" s="30"/>
      <c r="Z13" s="30"/>
    </row>
    <row r="14" spans="1:26">
      <c r="A14" s="30"/>
      <c r="B14" s="30"/>
      <c r="C14" s="57"/>
      <c r="D14" s="58"/>
      <c r="E14" s="30"/>
      <c r="F14" s="30"/>
      <c r="G14" s="57"/>
      <c r="H14" s="30"/>
      <c r="I14" s="30"/>
      <c r="J14" s="30"/>
      <c r="K14" s="30"/>
      <c r="L14" s="48"/>
      <c r="M14" s="49"/>
      <c r="N14" s="30"/>
      <c r="O14" s="30"/>
      <c r="P14" s="30"/>
      <c r="Q14" s="30"/>
      <c r="R14" s="30"/>
      <c r="S14" s="30"/>
      <c r="T14" s="30"/>
      <c r="U14" s="30"/>
      <c r="V14" s="30"/>
      <c r="W14" s="30"/>
      <c r="X14" s="30"/>
      <c r="Y14" s="30"/>
      <c r="Z14" s="30"/>
    </row>
    <row r="15" spans="1:26">
      <c r="A15" s="30"/>
      <c r="B15" s="30"/>
      <c r="C15" s="57"/>
      <c r="D15" s="58"/>
      <c r="E15" s="30"/>
      <c r="F15" s="30"/>
      <c r="G15" s="57"/>
      <c r="H15" s="30"/>
      <c r="I15" s="30"/>
      <c r="J15" s="30"/>
      <c r="K15" s="30"/>
      <c r="L15" s="48"/>
      <c r="M15" s="49"/>
      <c r="N15" s="30"/>
      <c r="O15" s="30"/>
      <c r="P15" s="30"/>
      <c r="Q15" s="30"/>
      <c r="R15" s="30"/>
      <c r="S15" s="30"/>
      <c r="T15" s="30"/>
      <c r="U15" s="30"/>
      <c r="V15" s="30"/>
      <c r="W15" s="30"/>
      <c r="X15" s="30"/>
      <c r="Y15" s="30"/>
      <c r="Z15" s="30"/>
    </row>
    <row r="16" spans="1:26">
      <c r="A16" s="30"/>
      <c r="B16" s="30"/>
      <c r="C16" s="57"/>
      <c r="D16" s="58"/>
      <c r="E16" s="30"/>
      <c r="F16" s="30"/>
      <c r="G16" s="57"/>
      <c r="H16" s="30"/>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59</v>
      </c>
      <c r="B1" s="59" t="s">
        <v>65</v>
      </c>
    </row>
    <row r="2" spans="1:2">
      <c r="A2" s="30" t="s">
        <v>66</v>
      </c>
      <c r="B2" s="60" t="s">
        <v>67</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68</v>
      </c>
      <c r="B1" s="14" t="s">
        <v>69</v>
      </c>
      <c r="C1" s="14" t="s">
        <v>70</v>
      </c>
      <c r="D1" s="14" t="s">
        <v>71</v>
      </c>
      <c r="E1" s="14" t="s">
        <v>72</v>
      </c>
      <c r="F1" s="14" t="s">
        <v>73</v>
      </c>
      <c r="G1" s="14" t="s">
        <v>74</v>
      </c>
      <c r="H1" s="14" t="s">
        <v>2</v>
      </c>
      <c r="I1" s="14" t="s">
        <v>75</v>
      </c>
      <c r="J1" s="14" t="s">
        <v>76</v>
      </c>
      <c r="K1" s="14" t="s">
        <v>77</v>
      </c>
      <c r="L1" s="14" t="s">
        <v>78</v>
      </c>
    </row>
    <row r="2" spans="1:12">
      <c r="A2" s="61" t="s">
        <v>79</v>
      </c>
      <c r="B2" s="45" t="str">
        <f>"82"&amp;RIGHT(Budget!$A$1,2)</f>
        <v>8211</v>
      </c>
      <c r="C2" s="45">
        <f>Budget!$A$2</f>
        <v>1338</v>
      </c>
      <c r="D2" s="61" t="s">
        <v>64</v>
      </c>
      <c r="E2" s="45">
        <f>Budget!$A$1</f>
        <v>211</v>
      </c>
      <c r="F2" s="45">
        <f>Budget!$A$3</f>
        <v>1</v>
      </c>
      <c r="G2" s="61" t="s">
        <v>80</v>
      </c>
      <c r="H2" s="14">
        <v>8699</v>
      </c>
      <c r="I2" s="45" t="str">
        <f ca="1">VLOOKUP(Budget!$A$1,Schools!A:B,2)&amp;" "&amp;UPPER(Budget!$E$4)&amp;" CONTRIBUTIONS"</f>
        <v>AHS VOLLEYBALL - BOYS CONTRIBUTIONS</v>
      </c>
      <c r="K2" s="36">
        <f>ROUND(SUMIF(Budget!A:A,H2,Budget!F:F)-K5,0)</f>
        <v>6912</v>
      </c>
      <c r="L2" s="45">
        <f t="shared" ref="L2:L26" si="0">SUM(J2:K2)</f>
        <v>6912</v>
      </c>
    </row>
    <row r="3" spans="1:12">
      <c r="A3" s="61" t="s">
        <v>79</v>
      </c>
      <c r="B3" s="45" t="str">
        <f>"82"&amp;RIGHT(Budget!$A$1,2)</f>
        <v>8211</v>
      </c>
      <c r="C3" s="45">
        <f>Budget!$A$2</f>
        <v>1338</v>
      </c>
      <c r="D3" s="61" t="s">
        <v>64</v>
      </c>
      <c r="E3" s="45">
        <f>Budget!$A$1</f>
        <v>211</v>
      </c>
      <c r="F3" s="45">
        <f>Budget!$A$3</f>
        <v>1</v>
      </c>
      <c r="G3" s="61" t="s">
        <v>80</v>
      </c>
      <c r="H3" s="14">
        <v>8692</v>
      </c>
      <c r="I3" s="45" t="str">
        <f ca="1">VLOOKUP(Budget!$A$1,Schools!A:B,2)&amp;" "&amp;UPPER(Budget!$E$4)&amp;" DONATIONS"</f>
        <v>AHS VOLLEYBALL - BOYS DONATIONS</v>
      </c>
      <c r="K3" s="36">
        <f>VLOOKUP($H3,Budget!A:F,6,0)</f>
        <v>2808.75</v>
      </c>
      <c r="L3" s="45">
        <f t="shared" si="0"/>
        <v>2808.75</v>
      </c>
    </row>
    <row r="4" spans="1:12">
      <c r="A4" s="61" t="s">
        <v>79</v>
      </c>
      <c r="B4" s="45" t="str">
        <f>"82"&amp;RIGHT(Budget!$A$1,2)</f>
        <v>8211</v>
      </c>
      <c r="C4" s="45">
        <f>Budget!$A$2</f>
        <v>1338</v>
      </c>
      <c r="D4" s="61" t="s">
        <v>64</v>
      </c>
      <c r="E4" s="45">
        <f>Budget!$A$1</f>
        <v>211</v>
      </c>
      <c r="F4" s="45">
        <f>Budget!$A$3</f>
        <v>1</v>
      </c>
      <c r="G4" s="61" t="s">
        <v>80</v>
      </c>
      <c r="H4" s="14">
        <v>8693</v>
      </c>
      <c r="I4" s="45" t="str">
        <f ca="1">VLOOKUP(Budget!$A$1,Schools!A:B,2)&amp;" "&amp;UPPER(Budget!$E$4)&amp;" FUNDRAISING"</f>
        <v>AHS VOLLEYBALL - BOYS FUNDRAISING</v>
      </c>
      <c r="K4" s="36">
        <f>VLOOKUP($H4,Budget!A:F,6,0)</f>
        <v>2000</v>
      </c>
      <c r="L4" s="45">
        <f t="shared" si="0"/>
        <v>2000</v>
      </c>
    </row>
    <row r="5" spans="1:12">
      <c r="A5" s="61" t="s">
        <v>79</v>
      </c>
      <c r="B5" s="45" t="str">
        <f>"82"&amp;RIGHT(Budget!$A$1,2)</f>
        <v>8211</v>
      </c>
      <c r="C5" s="45">
        <f>Budget!$A$2</f>
        <v>1338</v>
      </c>
      <c r="D5" s="61" t="s">
        <v>64</v>
      </c>
      <c r="E5" s="45">
        <f>Budget!$A$1</f>
        <v>211</v>
      </c>
      <c r="F5" s="45">
        <f>Budget!$A$3</f>
        <v>1</v>
      </c>
      <c r="G5" s="61" t="s">
        <v>80</v>
      </c>
      <c r="H5" s="14">
        <v>8694</v>
      </c>
      <c r="I5" s="45" t="str">
        <f ca="1">VLOOKUP(Budget!$A$1,Schools!A:B,2)&amp;" "&amp;UPPER(Budget!$E$4)&amp;" PAL"</f>
        <v>AHS VOLLEYBALL - BOYS PAL</v>
      </c>
      <c r="K5" s="36">
        <f>VLOOKUP($H5,Budget!$A:$F,6,0)</f>
        <v>768</v>
      </c>
      <c r="L5" s="45">
        <f t="shared" si="0"/>
        <v>768</v>
      </c>
    </row>
    <row r="6" spans="1:12">
      <c r="A6" s="61" t="s">
        <v>79</v>
      </c>
      <c r="B6" s="45" t="str">
        <f>"82"&amp;RIGHT(Budget!$A$1,2)</f>
        <v>8211</v>
      </c>
      <c r="C6" s="45">
        <f>Budget!$A$2</f>
        <v>1338</v>
      </c>
      <c r="D6" s="61" t="s">
        <v>81</v>
      </c>
      <c r="E6" s="45">
        <f>Budget!$A$1</f>
        <v>211</v>
      </c>
      <c r="F6" s="45">
        <f>Budget!$A$3</f>
        <v>1</v>
      </c>
      <c r="G6" s="61" t="s">
        <v>82</v>
      </c>
      <c r="H6" s="14">
        <v>2180</v>
      </c>
      <c r="I6" s="45" t="str">
        <f ca="1">VLOOKUP(Budget!$A$1,Schools!A:B,2)&amp;" "&amp;UPPER(Budget!$E$4)&amp;" COACH STIPEND"</f>
        <v>AHS VOLLEYBALL - BOYS COACH STIPEND</v>
      </c>
      <c r="J6" s="62">
        <f>ROUND(Budget!F25/1.205022,0)</f>
        <v>7400</v>
      </c>
      <c r="L6" s="62">
        <f t="shared" si="0"/>
        <v>7400</v>
      </c>
    </row>
    <row r="7" spans="1:12">
      <c r="A7" s="61" t="s">
        <v>79</v>
      </c>
      <c r="B7" s="45" t="str">
        <f>"82"&amp;RIGHT(Budget!$A$1,2)</f>
        <v>8211</v>
      </c>
      <c r="C7" s="45">
        <f>Budget!$A$2</f>
        <v>1338</v>
      </c>
      <c r="D7" s="61" t="s">
        <v>81</v>
      </c>
      <c r="E7" s="45">
        <f>Budget!$A$1</f>
        <v>211</v>
      </c>
      <c r="F7" s="45">
        <f>Budget!$A$3</f>
        <v>1</v>
      </c>
      <c r="G7" s="61" t="s">
        <v>82</v>
      </c>
      <c r="H7" s="14">
        <v>3302</v>
      </c>
      <c r="I7" s="45" t="str">
        <f ca="1">VLOOKUP(Budget!$A$1,Schools!A:B,2)&amp;" "&amp;UPPER(Budget!$E$4)&amp;" COACH FICA"</f>
        <v>AHS VOLLEYBALL - BOYS COACH FICA</v>
      </c>
      <c r="J7" s="62">
        <f>ROUND(J6*0.0765,0)</f>
        <v>566</v>
      </c>
      <c r="L7" s="62">
        <f t="shared" si="0"/>
        <v>566</v>
      </c>
    </row>
    <row r="8" spans="1:12">
      <c r="A8" s="61" t="s">
        <v>79</v>
      </c>
      <c r="B8" s="45" t="str">
        <f>"82"&amp;RIGHT(Budget!$A$1,2)</f>
        <v>8211</v>
      </c>
      <c r="C8" s="45">
        <f>Budget!$A$2</f>
        <v>1338</v>
      </c>
      <c r="D8" s="61" t="s">
        <v>81</v>
      </c>
      <c r="E8" s="45">
        <f>Budget!$A$1</f>
        <v>211</v>
      </c>
      <c r="F8" s="45">
        <f>Budget!$A$3</f>
        <v>1</v>
      </c>
      <c r="G8" s="61" t="s">
        <v>82</v>
      </c>
      <c r="H8" s="14">
        <v>3502</v>
      </c>
      <c r="I8" s="45" t="str">
        <f ca="1">VLOOKUP(Budget!$A$1,Schools!A:B,2)&amp;" "&amp;UPPER(Budget!$E$4)&amp;" COACH SUI"</f>
        <v>AHS VOLLEYBALL - BOYS COACH SUI</v>
      </c>
      <c r="J8" s="62">
        <f>ROUND(J6*0.0005,0)</f>
        <v>4</v>
      </c>
      <c r="L8" s="62">
        <f t="shared" si="0"/>
        <v>4</v>
      </c>
    </row>
    <row r="9" spans="1:12">
      <c r="A9" s="61" t="s">
        <v>79</v>
      </c>
      <c r="B9" s="45" t="str">
        <f>"82"&amp;RIGHT(Budget!$A$1,2)</f>
        <v>8211</v>
      </c>
      <c r="C9" s="45">
        <f>Budget!$A$2</f>
        <v>1338</v>
      </c>
      <c r="D9" s="61" t="s">
        <v>81</v>
      </c>
      <c r="E9" s="45">
        <f>Budget!$A$1</f>
        <v>211</v>
      </c>
      <c r="F9" s="45">
        <f>Budget!$A$3</f>
        <v>1</v>
      </c>
      <c r="G9" s="61" t="s">
        <v>82</v>
      </c>
      <c r="H9" s="14">
        <v>3602</v>
      </c>
      <c r="I9" s="45" t="str">
        <f ca="1">VLOOKUP(Budget!$A$1,Schools!A:B,2)&amp;" "&amp;UPPER(Budget!$E$4)&amp;" COACH WC"</f>
        <v>AHS VOLLEYBALL - BOYS COACH WC</v>
      </c>
      <c r="J9" s="62">
        <f>ROUND(J6*0.018511,0)</f>
        <v>137</v>
      </c>
      <c r="L9" s="62">
        <f t="shared" si="0"/>
        <v>137</v>
      </c>
    </row>
    <row r="10" spans="1:12">
      <c r="A10" s="61" t="s">
        <v>79</v>
      </c>
      <c r="B10" s="45" t="str">
        <f>"82"&amp;RIGHT(Budget!$A$1,2)</f>
        <v>8211</v>
      </c>
      <c r="C10" s="57">
        <f>Budget!$A$2</f>
        <v>1338</v>
      </c>
      <c r="D10" s="50" t="s">
        <v>83</v>
      </c>
      <c r="E10" s="45">
        <f>Budget!$A$1</f>
        <v>211</v>
      </c>
      <c r="F10" s="45">
        <f>Budget!$A$3</f>
        <v>1</v>
      </c>
      <c r="G10" s="61" t="s">
        <v>80</v>
      </c>
      <c r="H10" s="14">
        <v>7350</v>
      </c>
      <c r="I10" s="45" t="str">
        <f ca="1">VLOOKUP(Budget!$A$1,Schools!A:B,2)&amp;" "&amp;UPPER(Budget!$E$4)&amp;" INDIRECT COST"</f>
        <v>AHS VOLLEYBALL - BOYS INDIRECT COST</v>
      </c>
      <c r="J10" s="62">
        <f>ROUND(SUM(J6:J9)*0.1,0)</f>
        <v>811</v>
      </c>
      <c r="L10" s="62">
        <f t="shared" si="0"/>
        <v>811</v>
      </c>
    </row>
    <row r="11" spans="1:12">
      <c r="A11" s="61" t="s">
        <v>79</v>
      </c>
      <c r="B11" s="45" t="str">
        <f>"82"&amp;RIGHT(Budget!$A$1,2)</f>
        <v>8211</v>
      </c>
      <c r="C11" s="57">
        <f>Budget!$A$2</f>
        <v>1338</v>
      </c>
      <c r="D11" s="50" t="s">
        <v>81</v>
      </c>
      <c r="E11" s="45">
        <f>Budget!$A$1</f>
        <v>211</v>
      </c>
      <c r="F11" s="45">
        <f>Budget!$A$3</f>
        <v>1</v>
      </c>
      <c r="G11" s="45" t="str">
        <f>"0"&amp;RIGHT(Budget!$A$1,2)</f>
        <v>011</v>
      </c>
      <c r="H11" s="14">
        <v>4341</v>
      </c>
      <c r="I11" s="45" t="str">
        <f ca="1">VLOOKUP(Budget!$A$1,Schools!A:B,2)&amp;" "&amp;UPPER(Budget!$E$4)&amp;" PLAYER UNIFORMS"</f>
        <v>AHS VOLLEYBALL - BOYS PLAYER UNIFORMS</v>
      </c>
      <c r="J11" s="62">
        <f>VLOOKUP($H11,Budget!$A:$F,6,0)</f>
        <v>2500</v>
      </c>
      <c r="L11" s="62">
        <f t="shared" si="0"/>
        <v>2500</v>
      </c>
    </row>
    <row r="12" spans="1:12">
      <c r="A12" s="61" t="s">
        <v>79</v>
      </c>
      <c r="B12" s="45" t="str">
        <f>"82"&amp;RIGHT(Budget!$A$1,2)</f>
        <v>8211</v>
      </c>
      <c r="C12" s="57">
        <f>Budget!$A$2</f>
        <v>1338</v>
      </c>
      <c r="D12" s="50" t="s">
        <v>81</v>
      </c>
      <c r="E12" s="45">
        <f>Budget!$A$1</f>
        <v>211</v>
      </c>
      <c r="F12" s="45">
        <f>Budget!$A$3</f>
        <v>1</v>
      </c>
      <c r="G12" s="45" t="str">
        <f>"0"&amp;RIGHT(Budget!$A$1,2)</f>
        <v>011</v>
      </c>
      <c r="H12" s="14">
        <v>4342</v>
      </c>
      <c r="I12" s="45" t="str">
        <f ca="1">VLOOKUP(Budget!$A$1,Schools!A:B,2)&amp;" "&amp;UPPER(Budget!$E$4)&amp;" COACH UNIFORM"</f>
        <v>AHS VOLLEYBALL - BOYS COACH UNIFORM</v>
      </c>
      <c r="J12" s="62">
        <f>VLOOKUP($H12,Budget!$A:$F,6,0)</f>
        <v>250</v>
      </c>
      <c r="L12" s="62">
        <f t="shared" si="0"/>
        <v>250</v>
      </c>
    </row>
    <row r="13" spans="1:12">
      <c r="A13" s="61" t="s">
        <v>79</v>
      </c>
      <c r="B13" s="45" t="str">
        <f>"82"&amp;RIGHT(Budget!$A$1,2)</f>
        <v>8211</v>
      </c>
      <c r="C13" s="57">
        <f>Budget!$A$2</f>
        <v>1338</v>
      </c>
      <c r="D13" s="50" t="s">
        <v>81</v>
      </c>
      <c r="E13" s="45">
        <f>Budget!$A$1</f>
        <v>211</v>
      </c>
      <c r="F13" s="45">
        <f>Budget!$A$3</f>
        <v>1</v>
      </c>
      <c r="G13" s="45" t="str">
        <f>"0"&amp;RIGHT(Budget!$A$1,2)</f>
        <v>011</v>
      </c>
      <c r="H13" s="14">
        <v>5840</v>
      </c>
      <c r="I13" s="45" t="str">
        <f ca="1">VLOOKUP(Budget!$A$1,Schools!A:B,2)&amp;" "&amp;UPPER(Budget!$E$4)&amp;" OFFICAL/DUES"</f>
        <v>AHS VOLLEYBALL - BOYS OFFICAL/DUES</v>
      </c>
      <c r="J13" s="62">
        <f>VLOOKUP($H13,Budget!$A:$F,6,0)</f>
        <v>1440</v>
      </c>
      <c r="L13" s="62">
        <f t="shared" si="0"/>
        <v>1440</v>
      </c>
    </row>
    <row r="14" spans="1:12">
      <c r="A14" s="61" t="s">
        <v>79</v>
      </c>
      <c r="B14" s="45" t="str">
        <f>"82"&amp;RIGHT(Budget!$A$1,2)</f>
        <v>8211</v>
      </c>
      <c r="C14" s="57">
        <f>Budget!$A$2</f>
        <v>1338</v>
      </c>
      <c r="D14" s="50" t="s">
        <v>81</v>
      </c>
      <c r="E14" s="45">
        <f>Budget!$A$1</f>
        <v>211</v>
      </c>
      <c r="F14" s="45">
        <f>Budget!$A$3</f>
        <v>1</v>
      </c>
      <c r="G14" s="45" t="str">
        <f>"0"&amp;RIGHT(Budget!$A$1,2)</f>
        <v>011</v>
      </c>
      <c r="H14" s="14">
        <v>5841</v>
      </c>
      <c r="I14" s="45" t="str">
        <f ca="1">VLOOKUP(Budget!$A$1,Schools!A:B,2)&amp;" "&amp;UPPER(Budget!$E$4)&amp;" TRAVEL"</f>
        <v>AHS VOLLEYBALL - BOYS TRAVEL</v>
      </c>
      <c r="J14" s="62">
        <f>VLOOKUP($H14,Budget!$A:$F,6,0)</f>
        <v>0</v>
      </c>
      <c r="L14" s="62">
        <f t="shared" si="0"/>
        <v>0</v>
      </c>
    </row>
    <row r="15" spans="1:12">
      <c r="A15" s="61" t="s">
        <v>79</v>
      </c>
      <c r="B15" s="45" t="str">
        <f>"82"&amp;RIGHT(Budget!$A$1,2)</f>
        <v>8211</v>
      </c>
      <c r="C15" s="57">
        <f>Budget!$A$2</f>
        <v>1338</v>
      </c>
      <c r="D15" s="50" t="s">
        <v>81</v>
      </c>
      <c r="E15" s="45">
        <f>Budget!$A$1</f>
        <v>211</v>
      </c>
      <c r="F15" s="45">
        <f>Budget!$A$3</f>
        <v>1</v>
      </c>
      <c r="G15" s="45" t="str">
        <f>"0"&amp;RIGHT(Budget!$A$1,2)</f>
        <v>011</v>
      </c>
      <c r="H15" s="14">
        <v>5842</v>
      </c>
      <c r="I15" s="45" t="str">
        <f ca="1">VLOOKUP(Budget!$A$1,Schools!A:B,2)&amp;" "&amp;UPPER(Budget!$E$4)&amp;" TOURNAMENT"</f>
        <v>AHS VOLLEYBALL - BOYS TOURNAMENT</v>
      </c>
      <c r="J15" s="62">
        <f>VLOOKUP($H15,Budget!$A:$F,6,0)</f>
        <v>625</v>
      </c>
      <c r="L15" s="62">
        <f t="shared" si="0"/>
        <v>625</v>
      </c>
    </row>
    <row r="16" spans="1:12">
      <c r="A16" s="61" t="s">
        <v>79</v>
      </c>
      <c r="B16" s="45" t="str">
        <f>"82"&amp;RIGHT(Budget!$A$1,2)</f>
        <v>8211</v>
      </c>
      <c r="C16" s="57">
        <f>Budget!$A$2</f>
        <v>1338</v>
      </c>
      <c r="D16" s="50" t="s">
        <v>81</v>
      </c>
      <c r="E16" s="45">
        <f>Budget!$A$1</f>
        <v>211</v>
      </c>
      <c r="F16" s="45">
        <f>Budget!$A$3</f>
        <v>1</v>
      </c>
      <c r="G16" s="45" t="str">
        <f>"0"&amp;RIGHT(Budget!$A$1,2)</f>
        <v>011</v>
      </c>
      <c r="H16" s="14">
        <v>4343</v>
      </c>
      <c r="I16" s="45" t="str">
        <f ca="1">VLOOKUP(Budget!$A$1,Schools!A:B,2)&amp;" "&amp;UPPER(Budget!$E$4)&amp;" EQUIPMENT"</f>
        <v>AHS VOLLEYBALL - BOYS EQUIPMENT</v>
      </c>
      <c r="J16" s="62">
        <f>VLOOKUP($H16,Budget!$A:$F,6,0)</f>
        <v>630</v>
      </c>
      <c r="L16" s="62">
        <f t="shared" si="0"/>
        <v>630</v>
      </c>
    </row>
    <row r="17" spans="1:12">
      <c r="A17" s="61" t="s">
        <v>79</v>
      </c>
      <c r="B17" s="45" t="str">
        <f>"82"&amp;RIGHT(Budget!$A$1,2)</f>
        <v>8211</v>
      </c>
      <c r="C17" s="57">
        <f>Budget!$A$2</f>
        <v>1338</v>
      </c>
      <c r="D17" s="50" t="s">
        <v>84</v>
      </c>
      <c r="E17" s="45">
        <f>Budget!$A$1</f>
        <v>211</v>
      </c>
      <c r="F17" s="45">
        <f>Budget!$A$3</f>
        <v>1</v>
      </c>
      <c r="G17" s="61" t="s">
        <v>82</v>
      </c>
      <c r="H17" s="14">
        <v>2250</v>
      </c>
      <c r="I17" s="45" t="str">
        <f ca="1">VLOOKUP(Budget!$A$1,Schools!A:B,2)&amp;" "&amp;UPPER(Budget!$E$4)&amp;" CUSTODIAL HRLY"</f>
        <v>AHS VOLLEYBALL - BOYS CUSTODIAL HRLY</v>
      </c>
      <c r="J17" s="62">
        <f>VLOOKUP($H17,Budget!$A:$F,6,0)</f>
        <v>600</v>
      </c>
      <c r="L17" s="62">
        <f t="shared" si="0"/>
        <v>600</v>
      </c>
    </row>
    <row r="18" spans="1:12">
      <c r="A18" s="61" t="s">
        <v>79</v>
      </c>
      <c r="B18" s="45" t="str">
        <f>"82"&amp;RIGHT(Budget!$A$1,2)</f>
        <v>8211</v>
      </c>
      <c r="C18" s="57">
        <f>Budget!$A$2</f>
        <v>1338</v>
      </c>
      <c r="D18" s="50" t="s">
        <v>81</v>
      </c>
      <c r="E18" s="45">
        <f>Budget!$A$1</f>
        <v>211</v>
      </c>
      <c r="F18" s="45">
        <f>Budget!$A$3</f>
        <v>1</v>
      </c>
      <c r="G18" s="45" t="str">
        <f>"0"&amp;RIGHT(Budget!$A$1,2)</f>
        <v>011</v>
      </c>
      <c r="H18" s="14">
        <v>5843</v>
      </c>
      <c r="I18" s="45" t="str">
        <f ca="1">VLOOKUP(Budget!$A$1,Schools!A:B,2)&amp;" "&amp;UPPER(Budget!$E$4)&amp;" BANQUET LUNCH"</f>
        <v>AHS VOLLEYBALL - BOYS BANQUET LUNCH</v>
      </c>
      <c r="J18" s="62">
        <f>VLOOKUP($H18,Budget!$A:$F,6,0)</f>
        <v>600</v>
      </c>
      <c r="L18" s="62">
        <f t="shared" si="0"/>
        <v>600</v>
      </c>
    </row>
    <row r="19" spans="1:12">
      <c r="A19" s="61" t="s">
        <v>79</v>
      </c>
      <c r="B19" s="45" t="str">
        <f>"82"&amp;RIGHT(Budget!$A$1,2)</f>
        <v>8211</v>
      </c>
      <c r="C19" s="57">
        <f>Budget!$A$2</f>
        <v>1338</v>
      </c>
      <c r="D19" s="50" t="s">
        <v>81</v>
      </c>
      <c r="E19" s="45">
        <f>Budget!$A$1</f>
        <v>211</v>
      </c>
      <c r="F19" s="45">
        <f>Budget!$A$3</f>
        <v>1</v>
      </c>
      <c r="G19" s="45" t="str">
        <f>"0"&amp;RIGHT(Budget!$A$1,2)</f>
        <v>011</v>
      </c>
      <c r="H19" s="14">
        <v>5845</v>
      </c>
      <c r="I19" s="45" t="str">
        <f ca="1">VLOOKUP(Budget!$A$1,Schools!A:B,2)&amp;" "&amp;UPPER(Budget!$E$4)&amp;" OFFSEASON"</f>
        <v>AHS VOLLEYBALL - BOYS OFFSEASON</v>
      </c>
      <c r="J19" s="62">
        <f>VLOOKUP($H19,Budget!$A:$F,6,0)</f>
        <v>0</v>
      </c>
      <c r="L19" s="62">
        <f t="shared" si="0"/>
        <v>0</v>
      </c>
    </row>
    <row r="20" spans="1:12">
      <c r="A20" s="61" t="s">
        <v>79</v>
      </c>
      <c r="B20" s="45" t="str">
        <f>"82"&amp;RIGHT(Budget!$A$1,2)</f>
        <v>8211</v>
      </c>
      <c r="C20" s="57">
        <f>Budget!$A$2</f>
        <v>1338</v>
      </c>
      <c r="D20" s="50" t="s">
        <v>81</v>
      </c>
      <c r="E20" s="45">
        <f>Budget!$A$1</f>
        <v>211</v>
      </c>
      <c r="F20" s="45">
        <f>Budget!$A$3</f>
        <v>1</v>
      </c>
      <c r="G20" s="45" t="str">
        <f>"0"&amp;RIGHT(Budget!$A$1,2)</f>
        <v>011</v>
      </c>
      <c r="H20" s="14">
        <v>4344</v>
      </c>
      <c r="I20" s="45" t="str">
        <f ca="1">VLOOKUP(Budget!$A$1,Schools!A:B,2)&amp;" "&amp;UPPER(Budget!$E$4)&amp;" OTHER"</f>
        <v>AHS VOLLEYBALL - BOYS OTHER</v>
      </c>
      <c r="J20" s="62">
        <f>VLOOKUP($H20,Budget!$A:$F,6,0)</f>
        <v>1235</v>
      </c>
      <c r="L20" s="62">
        <f t="shared" si="0"/>
        <v>1235</v>
      </c>
    </row>
    <row r="21" spans="1:12">
      <c r="A21" s="61" t="s">
        <v>79</v>
      </c>
      <c r="B21" s="45" t="str">
        <f>"82"&amp;RIGHT(Budget!$A$1,2)</f>
        <v>8211</v>
      </c>
      <c r="C21" s="57">
        <f>Budget!$A$2</f>
        <v>1338</v>
      </c>
      <c r="D21" s="50" t="s">
        <v>81</v>
      </c>
      <c r="E21" s="45">
        <f>Budget!$A$1</f>
        <v>211</v>
      </c>
      <c r="F21" s="45">
        <f>Budget!$A$3</f>
        <v>1</v>
      </c>
      <c r="G21" s="45" t="str">
        <f>"0"&amp;RIGHT(Budget!$A$1,2)</f>
        <v>011</v>
      </c>
      <c r="H21" s="14">
        <v>4345</v>
      </c>
      <c r="I21" s="45" t="str">
        <f ca="1">VLOOKUP(Budget!$A$1,Schools!A:B,2)&amp;" "&amp;UPPER(Budget!$E$4)&amp;" FUNDRAISING EXPENSE"</f>
        <v>AHS VOLLEYBALL - BOYS FUNDRAISING EXPENSE</v>
      </c>
      <c r="J21" s="62">
        <f>Budget!F35</f>
        <v>0</v>
      </c>
      <c r="L21" s="62">
        <f t="shared" si="0"/>
        <v>0</v>
      </c>
    </row>
    <row r="22" spans="1:12">
      <c r="A22" s="61" t="s">
        <v>79</v>
      </c>
      <c r="B22" s="45" t="str">
        <f>"82"&amp;RIGHT(Budget!$A$1,2)</f>
        <v>8211</v>
      </c>
      <c r="C22" s="57">
        <f>Budget!$A$2</f>
        <v>1338</v>
      </c>
      <c r="D22" s="50" t="s">
        <v>81</v>
      </c>
      <c r="E22" s="45">
        <f>Budget!$A$1</f>
        <v>211</v>
      </c>
      <c r="F22" s="45">
        <f>Budget!$A$3</f>
        <v>1</v>
      </c>
      <c r="G22" s="45" t="str">
        <f>"0"&amp;RIGHT(Budget!$A$1,2)</f>
        <v>011</v>
      </c>
      <c r="H22" s="14">
        <v>5844</v>
      </c>
      <c r="I22" s="45" t="str">
        <f ca="1">VLOOKUP(Budget!$A$1,Schools!A:B,2)&amp;" "&amp;UPPER(Budget!$E$4)&amp;" WEBSTORE FEES"</f>
        <v>AHS VOLLEYBALL - BOYS WEBSTORE FEES</v>
      </c>
      <c r="J22" s="36">
        <f>ROUND(VLOOKUP($H22,Budget!$A:$F,6,0),0)</f>
        <v>307</v>
      </c>
      <c r="L22" s="36">
        <f t="shared" si="0"/>
        <v>307</v>
      </c>
    </row>
    <row r="23" spans="1:12">
      <c r="A23" s="61" t="s">
        <v>79</v>
      </c>
      <c r="B23" s="45" t="str">
        <f>"82"&amp;RIGHT(Budget!$A$1,2)</f>
        <v>8211</v>
      </c>
      <c r="C23" s="57">
        <f>Budget!$A$2</f>
        <v>1338</v>
      </c>
      <c r="D23" s="50" t="s">
        <v>64</v>
      </c>
      <c r="E23" s="45">
        <f>Budget!$A$1</f>
        <v>211</v>
      </c>
      <c r="F23" s="45">
        <f>Budget!$A$3</f>
        <v>1</v>
      </c>
      <c r="G23" s="61" t="s">
        <v>80</v>
      </c>
      <c r="H23" s="14">
        <v>7994</v>
      </c>
      <c r="I23" s="45" t="str">
        <f ca="1">VLOOKUP(Budget!$A$1,Schools!A:B,2)&amp;" "&amp;UPPER(Budget!$E$4)&amp;" ENDING BALANCE"</f>
        <v>AHS VOLLEYBALL - BOYS ENDING BALANCE</v>
      </c>
      <c r="J23" s="45" t="str">
        <f>IF(SUM(K2:K4)-SUM(J6:J22)&gt;=0,SUM(K2:K4)-SUM(J6:J22),"")</f>
        <v/>
      </c>
      <c r="K23" s="36">
        <f>IF(SUM(K2:K4)-SUM(J6:J22)&lt;0,-1*(SUM(K2:K4)-SUM(J6:J22)),"")</f>
        <v>5384.25</v>
      </c>
      <c r="L23" s="45">
        <f t="shared" si="0"/>
        <v>5384.25</v>
      </c>
    </row>
    <row r="24" spans="1:12">
      <c r="A24" s="61" t="s">
        <v>79</v>
      </c>
      <c r="B24" s="45" t="str">
        <f>"82"&amp;RIGHT(Budget!$A$1,2)</f>
        <v>8211</v>
      </c>
      <c r="C24" s="57">
        <f>Budget!$A$2</f>
        <v>1338</v>
      </c>
      <c r="D24" s="50" t="s">
        <v>64</v>
      </c>
      <c r="E24" s="45">
        <f>Budget!$A$1</f>
        <v>211</v>
      </c>
      <c r="F24" s="45">
        <f>Budget!$A$3</f>
        <v>1</v>
      </c>
      <c r="G24" s="61" t="s">
        <v>80</v>
      </c>
      <c r="H24" s="14">
        <v>8980</v>
      </c>
      <c r="I24" s="45" t="str">
        <f ca="1">VLOOKUP(Budget!$A$1,Schools!A:B,2)&amp;" "&amp;UPPER(Budget!$E$4)&amp;" PAL TRANSFER OUT"</f>
        <v>AHS VOLLEYBALL - BOYS PAL TRANSFER OUT</v>
      </c>
      <c r="J24" s="36">
        <f>K5</f>
        <v>768</v>
      </c>
      <c r="L24" s="36">
        <f t="shared" si="0"/>
        <v>768</v>
      </c>
    </row>
    <row r="25" spans="1:12">
      <c r="A25" s="61" t="s">
        <v>79</v>
      </c>
      <c r="B25" s="45" t="str">
        <f>"82"&amp;RIGHT(Budget!$A$1,2)</f>
        <v>8211</v>
      </c>
      <c r="C25" s="63">
        <v>1301</v>
      </c>
      <c r="D25" s="50" t="s">
        <v>64</v>
      </c>
      <c r="E25" s="45">
        <f>Budget!$A$1</f>
        <v>211</v>
      </c>
      <c r="F25" s="45">
        <f>Budget!$A$3</f>
        <v>1</v>
      </c>
      <c r="G25" s="61" t="s">
        <v>80</v>
      </c>
      <c r="H25" s="14">
        <v>8980</v>
      </c>
      <c r="I25" s="45" t="str">
        <f ca="1">VLOOKUP(Budget!$A$1,Schools!A:B,2)&amp;" "&amp;UPPER(Budget!$E$4)&amp;" PAL TRANSFER ASB"</f>
        <v>AHS VOLLEYBALL - BOYS PAL TRANSFER ASB</v>
      </c>
      <c r="K25" s="36">
        <f>J24</f>
        <v>768</v>
      </c>
      <c r="L25" s="45">
        <f t="shared" si="0"/>
        <v>768</v>
      </c>
    </row>
    <row r="26" spans="1:12">
      <c r="A26" s="61" t="s">
        <v>79</v>
      </c>
      <c r="B26" s="45" t="str">
        <f>"82"&amp;RIGHT(Budget!$A$1,2)</f>
        <v>8211</v>
      </c>
      <c r="C26" s="63">
        <v>1301</v>
      </c>
      <c r="D26" s="50" t="s">
        <v>64</v>
      </c>
      <c r="E26" s="45">
        <f>Budget!$A$1</f>
        <v>211</v>
      </c>
      <c r="F26" s="45">
        <f>Budget!$A$3</f>
        <v>1</v>
      </c>
      <c r="G26" s="61" t="s">
        <v>80</v>
      </c>
      <c r="H26" s="14">
        <v>7994</v>
      </c>
      <c r="I26" s="45" t="str">
        <f ca="1">VLOOKUP(Budget!$A$1,Schools!A:B,2)&amp;" "&amp;UPPER(Budget!$E$4)&amp;" PAL FUND BALANCE"</f>
        <v>AHS VOLLEYBALL - BOYS PAL FUND BALANCE</v>
      </c>
      <c r="J26" s="36">
        <f>K25</f>
        <v>768</v>
      </c>
      <c r="L26" s="36">
        <f t="shared" si="0"/>
        <v>768</v>
      </c>
    </row>
    <row r="28" spans="1:12">
      <c r="J28" s="36">
        <f t="shared" ref="J28:K28" si="1">SUM(J2:J26)</f>
        <v>18641</v>
      </c>
      <c r="K28" s="36">
        <f t="shared" si="1"/>
        <v>18641</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85</v>
      </c>
    </row>
    <row r="2" spans="1:2">
      <c r="A2" s="14">
        <v>212</v>
      </c>
      <c r="B2" s="14" t="s">
        <v>86</v>
      </c>
    </row>
    <row r="3" spans="1:2">
      <c r="A3" s="14">
        <v>213</v>
      </c>
      <c r="B3" s="14" t="s">
        <v>87</v>
      </c>
    </row>
    <row r="4" spans="1:2">
      <c r="A4" s="14">
        <v>215</v>
      </c>
      <c r="B4" s="14"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2025-03-15T02:36:33Z</dcterms:created>
  <dcterms:modified xsi:type="dcterms:W3CDTF">2025-03-15T02:36:33Z</dcterms:modified>
</cp:coreProperties>
</file>